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 для кавит установки\Эл площадка\"/>
    </mc:Choice>
  </mc:AlternateContent>
  <bookViews>
    <workbookView xWindow="0" yWindow="0" windowWidth="23775" windowHeight="1071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ФЕР'!$23:$23</definedName>
    <definedName name="_xlnm.Print_Area" localSheetId="0">'Смета 12 гр. по ФЕР'!$A$1:$L$690</definedName>
  </definedNames>
  <calcPr calcId="152511"/>
</workbook>
</file>

<file path=xl/calcChain.xml><?xml version="1.0" encoding="utf-8"?>
<calcChain xmlns="http://schemas.openxmlformats.org/spreadsheetml/2006/main">
  <c r="AD9" i="5" l="1"/>
  <c r="C688" i="5"/>
  <c r="C687" i="5"/>
  <c r="C686" i="5"/>
  <c r="J683" i="5"/>
  <c r="P683" i="5" s="1"/>
  <c r="G683" i="5"/>
  <c r="O683" i="5" s="1"/>
  <c r="Z683" i="5"/>
  <c r="Y683" i="5"/>
  <c r="X683" i="5"/>
  <c r="W683" i="5"/>
  <c r="F682" i="5"/>
  <c r="E682" i="5"/>
  <c r="D682" i="5"/>
  <c r="I682" i="5"/>
  <c r="C682" i="5"/>
  <c r="B682" i="5"/>
  <c r="A682" i="5"/>
  <c r="J681" i="5"/>
  <c r="P681" i="5" s="1"/>
  <c r="G681" i="5"/>
  <c r="O681" i="5" s="1"/>
  <c r="Z681" i="5"/>
  <c r="Y681" i="5"/>
  <c r="X681" i="5"/>
  <c r="W681" i="5"/>
  <c r="F680" i="5"/>
  <c r="E680" i="5"/>
  <c r="D680" i="5"/>
  <c r="I680" i="5"/>
  <c r="C680" i="5"/>
  <c r="B680" i="5"/>
  <c r="A680" i="5"/>
  <c r="Z679" i="5"/>
  <c r="Y679" i="5"/>
  <c r="X679" i="5"/>
  <c r="J678" i="5"/>
  <c r="Z678" i="5"/>
  <c r="Y678" i="5"/>
  <c r="X678" i="5"/>
  <c r="F678" i="5"/>
  <c r="D678" i="5"/>
  <c r="C678" i="5"/>
  <c r="B678" i="5"/>
  <c r="A678" i="5"/>
  <c r="J677" i="5"/>
  <c r="Z677" i="5"/>
  <c r="Y677" i="5"/>
  <c r="X677" i="5"/>
  <c r="F677" i="5"/>
  <c r="D677" i="5"/>
  <c r="C677" i="5"/>
  <c r="B677" i="5"/>
  <c r="A677" i="5"/>
  <c r="J676" i="5"/>
  <c r="Z676" i="5"/>
  <c r="Y676" i="5"/>
  <c r="X676" i="5"/>
  <c r="F676" i="5"/>
  <c r="D676" i="5"/>
  <c r="C676" i="5"/>
  <c r="B676" i="5"/>
  <c r="A676" i="5"/>
  <c r="G675" i="5"/>
  <c r="E675" i="5"/>
  <c r="J674" i="5"/>
  <c r="F674" i="5"/>
  <c r="E674" i="5"/>
  <c r="J673" i="5"/>
  <c r="F673" i="5"/>
  <c r="E673" i="5"/>
  <c r="J672" i="5"/>
  <c r="G672" i="5"/>
  <c r="F672" i="5"/>
  <c r="J671" i="5"/>
  <c r="G671" i="5"/>
  <c r="F671" i="5"/>
  <c r="J670" i="5"/>
  <c r="G670" i="5"/>
  <c r="F670" i="5"/>
  <c r="J669" i="5"/>
  <c r="G669" i="5"/>
  <c r="F669" i="5"/>
  <c r="F667" i="5"/>
  <c r="D667" i="5"/>
  <c r="I667" i="5"/>
  <c r="C667" i="5"/>
  <c r="B667" i="5"/>
  <c r="A667" i="5"/>
  <c r="Z666" i="5"/>
  <c r="Y666" i="5"/>
  <c r="X666" i="5"/>
  <c r="J665" i="5"/>
  <c r="Z665" i="5"/>
  <c r="Y665" i="5"/>
  <c r="X665" i="5"/>
  <c r="F665" i="5"/>
  <c r="D665" i="5"/>
  <c r="C665" i="5"/>
  <c r="B665" i="5"/>
  <c r="A665" i="5"/>
  <c r="J664" i="5"/>
  <c r="Z664" i="5"/>
  <c r="Y664" i="5"/>
  <c r="X664" i="5"/>
  <c r="F664" i="5"/>
  <c r="D664" i="5"/>
  <c r="C664" i="5"/>
  <c r="B664" i="5"/>
  <c r="A664" i="5"/>
  <c r="G663" i="5"/>
  <c r="E663" i="5"/>
  <c r="J662" i="5"/>
  <c r="F662" i="5"/>
  <c r="E662" i="5"/>
  <c r="J661" i="5"/>
  <c r="F661" i="5"/>
  <c r="E661" i="5"/>
  <c r="J660" i="5"/>
  <c r="G660" i="5"/>
  <c r="F660" i="5"/>
  <c r="J659" i="5"/>
  <c r="G659" i="5"/>
  <c r="F659" i="5"/>
  <c r="J658" i="5"/>
  <c r="G658" i="5"/>
  <c r="F658" i="5"/>
  <c r="J657" i="5"/>
  <c r="G657" i="5"/>
  <c r="F657" i="5"/>
  <c r="F655" i="5"/>
  <c r="D655" i="5"/>
  <c r="I655" i="5"/>
  <c r="C655" i="5"/>
  <c r="B655" i="5"/>
  <c r="A655" i="5"/>
  <c r="Z654" i="5"/>
  <c r="Y654" i="5"/>
  <c r="X654" i="5"/>
  <c r="G653" i="5"/>
  <c r="E653" i="5"/>
  <c r="J652" i="5"/>
  <c r="E652" i="5"/>
  <c r="J651" i="5"/>
  <c r="E651" i="5"/>
  <c r="J650" i="5"/>
  <c r="G650" i="5"/>
  <c r="F650" i="5"/>
  <c r="J649" i="5"/>
  <c r="G649" i="5"/>
  <c r="F649" i="5"/>
  <c r="J648" i="5"/>
  <c r="G648" i="5"/>
  <c r="F648" i="5"/>
  <c r="F646" i="5"/>
  <c r="D646" i="5"/>
  <c r="I646" i="5"/>
  <c r="C646" i="5"/>
  <c r="B646" i="5"/>
  <c r="A646" i="5"/>
  <c r="Z645" i="5"/>
  <c r="Y645" i="5"/>
  <c r="X645" i="5"/>
  <c r="G644" i="5"/>
  <c r="E644" i="5"/>
  <c r="J643" i="5"/>
  <c r="E643" i="5"/>
  <c r="J642" i="5"/>
  <c r="E642" i="5"/>
  <c r="J641" i="5"/>
  <c r="G641" i="5"/>
  <c r="F641" i="5"/>
  <c r="J640" i="5"/>
  <c r="G640" i="5"/>
  <c r="F640" i="5"/>
  <c r="J639" i="5"/>
  <c r="G639" i="5"/>
  <c r="F639" i="5"/>
  <c r="F637" i="5"/>
  <c r="D637" i="5"/>
  <c r="I637" i="5"/>
  <c r="C637" i="5"/>
  <c r="B637" i="5"/>
  <c r="A637" i="5"/>
  <c r="A636" i="5"/>
  <c r="Z634" i="5"/>
  <c r="Y634" i="5"/>
  <c r="X634" i="5"/>
  <c r="J633" i="5"/>
  <c r="Z633" i="5"/>
  <c r="Y633" i="5"/>
  <c r="X633" i="5"/>
  <c r="F633" i="5"/>
  <c r="D633" i="5"/>
  <c r="C633" i="5"/>
  <c r="B633" i="5"/>
  <c r="A633" i="5"/>
  <c r="J632" i="5"/>
  <c r="Z632" i="5"/>
  <c r="Y632" i="5"/>
  <c r="X632" i="5"/>
  <c r="F632" i="5"/>
  <c r="D632" i="5"/>
  <c r="C632" i="5"/>
  <c r="B632" i="5"/>
  <c r="A632" i="5"/>
  <c r="J631" i="5"/>
  <c r="Z631" i="5"/>
  <c r="Y631" i="5"/>
  <c r="X631" i="5"/>
  <c r="F631" i="5"/>
  <c r="D631" i="5"/>
  <c r="C631" i="5"/>
  <c r="B631" i="5"/>
  <c r="A631" i="5"/>
  <c r="G630" i="5"/>
  <c r="E630" i="5"/>
  <c r="J629" i="5"/>
  <c r="F629" i="5"/>
  <c r="E629" i="5"/>
  <c r="J628" i="5"/>
  <c r="F628" i="5"/>
  <c r="E628" i="5"/>
  <c r="J627" i="5"/>
  <c r="G627" i="5"/>
  <c r="F627" i="5"/>
  <c r="J626" i="5"/>
  <c r="G626" i="5"/>
  <c r="F626" i="5"/>
  <c r="J625" i="5"/>
  <c r="G625" i="5"/>
  <c r="F625" i="5"/>
  <c r="F624" i="5"/>
  <c r="E624" i="5"/>
  <c r="D624" i="5"/>
  <c r="I624" i="5"/>
  <c r="C624" i="5"/>
  <c r="B624" i="5"/>
  <c r="A624" i="5"/>
  <c r="Z623" i="5"/>
  <c r="Y623" i="5"/>
  <c r="X623" i="5"/>
  <c r="J622" i="5"/>
  <c r="Z622" i="5"/>
  <c r="Y622" i="5"/>
  <c r="X622" i="5"/>
  <c r="F622" i="5"/>
  <c r="D622" i="5"/>
  <c r="C622" i="5"/>
  <c r="B622" i="5"/>
  <c r="A622" i="5"/>
  <c r="J621" i="5"/>
  <c r="Z621" i="5"/>
  <c r="Y621" i="5"/>
  <c r="X621" i="5"/>
  <c r="F621" i="5"/>
  <c r="D621" i="5"/>
  <c r="C621" i="5"/>
  <c r="B621" i="5"/>
  <c r="A621" i="5"/>
  <c r="G620" i="5"/>
  <c r="E620" i="5"/>
  <c r="J619" i="5"/>
  <c r="F619" i="5"/>
  <c r="E619" i="5"/>
  <c r="J618" i="5"/>
  <c r="F618" i="5"/>
  <c r="E618" i="5"/>
  <c r="J617" i="5"/>
  <c r="G617" i="5"/>
  <c r="F617" i="5"/>
  <c r="J616" i="5"/>
  <c r="G616" i="5"/>
  <c r="F616" i="5"/>
  <c r="J615" i="5"/>
  <c r="G615" i="5"/>
  <c r="F615" i="5"/>
  <c r="J614" i="5"/>
  <c r="G614" i="5"/>
  <c r="F614" i="5"/>
  <c r="F613" i="5"/>
  <c r="E613" i="5"/>
  <c r="D613" i="5"/>
  <c r="I613" i="5"/>
  <c r="C613" i="5"/>
  <c r="B613" i="5"/>
  <c r="A613" i="5"/>
  <c r="A612" i="5"/>
  <c r="Z610" i="5"/>
  <c r="Y610" i="5"/>
  <c r="X610" i="5"/>
  <c r="J609" i="5"/>
  <c r="Z609" i="5"/>
  <c r="Y609" i="5"/>
  <c r="X609" i="5"/>
  <c r="F609" i="5"/>
  <c r="D609" i="5"/>
  <c r="C609" i="5"/>
  <c r="B609" i="5"/>
  <c r="A609" i="5"/>
  <c r="J608" i="5"/>
  <c r="Z608" i="5"/>
  <c r="Y608" i="5"/>
  <c r="X608" i="5"/>
  <c r="F608" i="5"/>
  <c r="D608" i="5"/>
  <c r="C608" i="5"/>
  <c r="B608" i="5"/>
  <c r="A608" i="5"/>
  <c r="J607" i="5"/>
  <c r="Z607" i="5"/>
  <c r="Y607" i="5"/>
  <c r="X607" i="5"/>
  <c r="F607" i="5"/>
  <c r="D607" i="5"/>
  <c r="C607" i="5"/>
  <c r="B607" i="5"/>
  <c r="A607" i="5"/>
  <c r="J606" i="5"/>
  <c r="Z606" i="5"/>
  <c r="Y606" i="5"/>
  <c r="X606" i="5"/>
  <c r="F606" i="5"/>
  <c r="D606" i="5"/>
  <c r="C606" i="5"/>
  <c r="B606" i="5"/>
  <c r="A606" i="5"/>
  <c r="J605" i="5"/>
  <c r="Z605" i="5"/>
  <c r="Y605" i="5"/>
  <c r="X605" i="5"/>
  <c r="F605" i="5"/>
  <c r="D605" i="5"/>
  <c r="C605" i="5"/>
  <c r="B605" i="5"/>
  <c r="A605" i="5"/>
  <c r="J604" i="5"/>
  <c r="Z604" i="5"/>
  <c r="Y604" i="5"/>
  <c r="X604" i="5"/>
  <c r="F604" i="5"/>
  <c r="D604" i="5"/>
  <c r="C604" i="5"/>
  <c r="B604" i="5"/>
  <c r="A604" i="5"/>
  <c r="G603" i="5"/>
  <c r="E603" i="5"/>
  <c r="J602" i="5"/>
  <c r="F602" i="5"/>
  <c r="E602" i="5"/>
  <c r="J601" i="5"/>
  <c r="F601" i="5"/>
  <c r="E601" i="5"/>
  <c r="J600" i="5"/>
  <c r="G600" i="5"/>
  <c r="F600" i="5"/>
  <c r="J599" i="5"/>
  <c r="G599" i="5"/>
  <c r="F599" i="5"/>
  <c r="J598" i="5"/>
  <c r="G598" i="5"/>
  <c r="F598" i="5"/>
  <c r="J597" i="5"/>
  <c r="G597" i="5"/>
  <c r="F597" i="5"/>
  <c r="F595" i="5"/>
  <c r="D595" i="5"/>
  <c r="I595" i="5"/>
  <c r="C595" i="5"/>
  <c r="B595" i="5"/>
  <c r="A595" i="5"/>
  <c r="Z594" i="5"/>
  <c r="Y594" i="5"/>
  <c r="X594" i="5"/>
  <c r="J593" i="5"/>
  <c r="Z593" i="5"/>
  <c r="Y593" i="5"/>
  <c r="X593" i="5"/>
  <c r="F593" i="5"/>
  <c r="D593" i="5"/>
  <c r="C593" i="5"/>
  <c r="B593" i="5"/>
  <c r="A593" i="5"/>
  <c r="J592" i="5"/>
  <c r="Z592" i="5"/>
  <c r="Y592" i="5"/>
  <c r="X592" i="5"/>
  <c r="F592" i="5"/>
  <c r="D592" i="5"/>
  <c r="C592" i="5"/>
  <c r="B592" i="5"/>
  <c r="A592" i="5"/>
  <c r="G591" i="5"/>
  <c r="E591" i="5"/>
  <c r="J590" i="5"/>
  <c r="F590" i="5"/>
  <c r="E590" i="5"/>
  <c r="J589" i="5"/>
  <c r="F589" i="5"/>
  <c r="E589" i="5"/>
  <c r="J588" i="5"/>
  <c r="G588" i="5"/>
  <c r="F588" i="5"/>
  <c r="J587" i="5"/>
  <c r="G587" i="5"/>
  <c r="F587" i="5"/>
  <c r="J586" i="5"/>
  <c r="G586" i="5"/>
  <c r="F586" i="5"/>
  <c r="J585" i="5"/>
  <c r="G585" i="5"/>
  <c r="F585" i="5"/>
  <c r="F583" i="5"/>
  <c r="D583" i="5"/>
  <c r="I583" i="5"/>
  <c r="C583" i="5"/>
  <c r="B583" i="5"/>
  <c r="A583" i="5"/>
  <c r="Z582" i="5"/>
  <c r="Y582" i="5"/>
  <c r="X582" i="5"/>
  <c r="J581" i="5"/>
  <c r="Z581" i="5"/>
  <c r="Y581" i="5"/>
  <c r="X581" i="5"/>
  <c r="F581" i="5"/>
  <c r="D581" i="5"/>
  <c r="C581" i="5"/>
  <c r="B581" i="5"/>
  <c r="A581" i="5"/>
  <c r="J580" i="5"/>
  <c r="Z580" i="5"/>
  <c r="Y580" i="5"/>
  <c r="X580" i="5"/>
  <c r="F580" i="5"/>
  <c r="D580" i="5"/>
  <c r="C580" i="5"/>
  <c r="B580" i="5"/>
  <c r="A580" i="5"/>
  <c r="J579" i="5"/>
  <c r="Z579" i="5"/>
  <c r="Y579" i="5"/>
  <c r="X579" i="5"/>
  <c r="F579" i="5"/>
  <c r="D579" i="5"/>
  <c r="C579" i="5"/>
  <c r="B579" i="5"/>
  <c r="A579" i="5"/>
  <c r="J578" i="5"/>
  <c r="Z578" i="5"/>
  <c r="Y578" i="5"/>
  <c r="X578" i="5"/>
  <c r="F578" i="5"/>
  <c r="D578" i="5"/>
  <c r="C578" i="5"/>
  <c r="B578" i="5"/>
  <c r="A578" i="5"/>
  <c r="J577" i="5"/>
  <c r="Z577" i="5"/>
  <c r="Y577" i="5"/>
  <c r="X577" i="5"/>
  <c r="F577" i="5"/>
  <c r="D577" i="5"/>
  <c r="C577" i="5"/>
  <c r="B577" i="5"/>
  <c r="A577" i="5"/>
  <c r="G576" i="5"/>
  <c r="E576" i="5"/>
  <c r="J575" i="5"/>
  <c r="F575" i="5"/>
  <c r="E575" i="5"/>
  <c r="J574" i="5"/>
  <c r="F574" i="5"/>
  <c r="E574" i="5"/>
  <c r="J573" i="5"/>
  <c r="G573" i="5"/>
  <c r="F573" i="5"/>
  <c r="J572" i="5"/>
  <c r="G572" i="5"/>
  <c r="F572" i="5"/>
  <c r="J571" i="5"/>
  <c r="G571" i="5"/>
  <c r="F571" i="5"/>
  <c r="J570" i="5"/>
  <c r="G570" i="5"/>
  <c r="F570" i="5"/>
  <c r="F568" i="5"/>
  <c r="D568" i="5"/>
  <c r="I568" i="5"/>
  <c r="C568" i="5"/>
  <c r="B568" i="5"/>
  <c r="A568" i="5"/>
  <c r="Z567" i="5"/>
  <c r="Y567" i="5"/>
  <c r="W567" i="5"/>
  <c r="J566" i="5"/>
  <c r="Z566" i="5"/>
  <c r="Y566" i="5"/>
  <c r="W566" i="5"/>
  <c r="F566" i="5"/>
  <c r="D566" i="5"/>
  <c r="C566" i="5"/>
  <c r="B566" i="5"/>
  <c r="A566" i="5"/>
  <c r="G565" i="5"/>
  <c r="E565" i="5"/>
  <c r="J564" i="5"/>
  <c r="E564" i="5"/>
  <c r="J563" i="5"/>
  <c r="E563" i="5"/>
  <c r="J562" i="5"/>
  <c r="G562" i="5"/>
  <c r="F562" i="5"/>
  <c r="J561" i="5"/>
  <c r="G561" i="5"/>
  <c r="F561" i="5"/>
  <c r="J560" i="5"/>
  <c r="G560" i="5"/>
  <c r="F560" i="5"/>
  <c r="F559" i="5"/>
  <c r="E559" i="5"/>
  <c r="D559" i="5"/>
  <c r="I559" i="5"/>
  <c r="C559" i="5"/>
  <c r="B559" i="5"/>
  <c r="A559" i="5"/>
  <c r="Z558" i="5"/>
  <c r="Y558" i="5"/>
  <c r="X558" i="5"/>
  <c r="J557" i="5"/>
  <c r="Z557" i="5"/>
  <c r="Y557" i="5"/>
  <c r="X557" i="5"/>
  <c r="F557" i="5"/>
  <c r="D557" i="5"/>
  <c r="C557" i="5"/>
  <c r="B557" i="5"/>
  <c r="A557" i="5"/>
  <c r="J556" i="5"/>
  <c r="Z556" i="5"/>
  <c r="Y556" i="5"/>
  <c r="X556" i="5"/>
  <c r="F556" i="5"/>
  <c r="D556" i="5"/>
  <c r="C556" i="5"/>
  <c r="B556" i="5"/>
  <c r="A556" i="5"/>
  <c r="J555" i="5"/>
  <c r="Z555" i="5"/>
  <c r="Y555" i="5"/>
  <c r="X555" i="5"/>
  <c r="F555" i="5"/>
  <c r="D555" i="5"/>
  <c r="C555" i="5"/>
  <c r="B555" i="5"/>
  <c r="A555" i="5"/>
  <c r="J554" i="5"/>
  <c r="Z554" i="5"/>
  <c r="Y554" i="5"/>
  <c r="X554" i="5"/>
  <c r="F554" i="5"/>
  <c r="D554" i="5"/>
  <c r="C554" i="5"/>
  <c r="B554" i="5"/>
  <c r="A554" i="5"/>
  <c r="J553" i="5"/>
  <c r="Z553" i="5"/>
  <c r="Y553" i="5"/>
  <c r="X553" i="5"/>
  <c r="F553" i="5"/>
  <c r="D553" i="5"/>
  <c r="C553" i="5"/>
  <c r="B553" i="5"/>
  <c r="A553" i="5"/>
  <c r="J552" i="5"/>
  <c r="Z552" i="5"/>
  <c r="Y552" i="5"/>
  <c r="X552" i="5"/>
  <c r="F552" i="5"/>
  <c r="D552" i="5"/>
  <c r="C552" i="5"/>
  <c r="B552" i="5"/>
  <c r="A552" i="5"/>
  <c r="J551" i="5"/>
  <c r="Z551" i="5"/>
  <c r="Y551" i="5"/>
  <c r="X551" i="5"/>
  <c r="F551" i="5"/>
  <c r="D551" i="5"/>
  <c r="C551" i="5"/>
  <c r="B551" i="5"/>
  <c r="A551" i="5"/>
  <c r="G550" i="5"/>
  <c r="E550" i="5"/>
  <c r="J549" i="5"/>
  <c r="F549" i="5"/>
  <c r="E549" i="5"/>
  <c r="J548" i="5"/>
  <c r="F548" i="5"/>
  <c r="E548" i="5"/>
  <c r="J547" i="5"/>
  <c r="G547" i="5"/>
  <c r="F547" i="5"/>
  <c r="J546" i="5"/>
  <c r="G546" i="5"/>
  <c r="F546" i="5"/>
  <c r="F544" i="5"/>
  <c r="D544" i="5"/>
  <c r="I544" i="5"/>
  <c r="C544" i="5"/>
  <c r="B544" i="5"/>
  <c r="A544" i="5"/>
  <c r="Z543" i="5"/>
  <c r="Y543" i="5"/>
  <c r="X543" i="5"/>
  <c r="J542" i="5"/>
  <c r="Z542" i="5"/>
  <c r="Y542" i="5"/>
  <c r="X542" i="5"/>
  <c r="F542" i="5"/>
  <c r="D542" i="5"/>
  <c r="C542" i="5"/>
  <c r="B542" i="5"/>
  <c r="A542" i="5"/>
  <c r="J541" i="5"/>
  <c r="Z541" i="5"/>
  <c r="Y541" i="5"/>
  <c r="X541" i="5"/>
  <c r="F541" i="5"/>
  <c r="D541" i="5"/>
  <c r="C541" i="5"/>
  <c r="B541" i="5"/>
  <c r="A541" i="5"/>
  <c r="G540" i="5"/>
  <c r="E540" i="5"/>
  <c r="J539" i="5"/>
  <c r="F539" i="5"/>
  <c r="E539" i="5"/>
  <c r="J538" i="5"/>
  <c r="F538" i="5"/>
  <c r="E538" i="5"/>
  <c r="J537" i="5"/>
  <c r="G537" i="5"/>
  <c r="F537" i="5"/>
  <c r="J536" i="5"/>
  <c r="G536" i="5"/>
  <c r="F536" i="5"/>
  <c r="J535" i="5"/>
  <c r="G535" i="5"/>
  <c r="F535" i="5"/>
  <c r="J534" i="5"/>
  <c r="G534" i="5"/>
  <c r="F534" i="5"/>
  <c r="F532" i="5"/>
  <c r="D532" i="5"/>
  <c r="I532" i="5"/>
  <c r="C532" i="5"/>
  <c r="B532" i="5"/>
  <c r="A532" i="5"/>
  <c r="Z531" i="5"/>
  <c r="Y531" i="5"/>
  <c r="X531" i="5"/>
  <c r="J530" i="5"/>
  <c r="Z530" i="5"/>
  <c r="Y530" i="5"/>
  <c r="X530" i="5"/>
  <c r="F530" i="5"/>
  <c r="D530" i="5"/>
  <c r="C530" i="5"/>
  <c r="B530" i="5"/>
  <c r="A530" i="5"/>
  <c r="G529" i="5"/>
  <c r="E529" i="5"/>
  <c r="J528" i="5"/>
  <c r="F528" i="5"/>
  <c r="E528" i="5"/>
  <c r="J527" i="5"/>
  <c r="F527" i="5"/>
  <c r="E527" i="5"/>
  <c r="J526" i="5"/>
  <c r="G526" i="5"/>
  <c r="F526" i="5"/>
  <c r="J525" i="5"/>
  <c r="G525" i="5"/>
  <c r="F525" i="5"/>
  <c r="J524" i="5"/>
  <c r="G524" i="5"/>
  <c r="F524" i="5"/>
  <c r="J523" i="5"/>
  <c r="G523" i="5"/>
  <c r="F523" i="5"/>
  <c r="F522" i="5"/>
  <c r="E522" i="5"/>
  <c r="D522" i="5"/>
  <c r="I522" i="5"/>
  <c r="C522" i="5"/>
  <c r="B522" i="5"/>
  <c r="A522" i="5"/>
  <c r="Z521" i="5"/>
  <c r="Y521" i="5"/>
  <c r="X521" i="5"/>
  <c r="J520" i="5"/>
  <c r="Z520" i="5"/>
  <c r="Y520" i="5"/>
  <c r="X520" i="5"/>
  <c r="F520" i="5"/>
  <c r="D520" i="5"/>
  <c r="C520" i="5"/>
  <c r="B520" i="5"/>
  <c r="A520" i="5"/>
  <c r="J519" i="5"/>
  <c r="Z519" i="5"/>
  <c r="Y519" i="5"/>
  <c r="X519" i="5"/>
  <c r="F519" i="5"/>
  <c r="D519" i="5"/>
  <c r="C519" i="5"/>
  <c r="B519" i="5"/>
  <c r="A519" i="5"/>
  <c r="J518" i="5"/>
  <c r="Z518" i="5"/>
  <c r="Y518" i="5"/>
  <c r="X518" i="5"/>
  <c r="F518" i="5"/>
  <c r="D518" i="5"/>
  <c r="C518" i="5"/>
  <c r="B518" i="5"/>
  <c r="A518" i="5"/>
  <c r="J517" i="5"/>
  <c r="Z517" i="5"/>
  <c r="Y517" i="5"/>
  <c r="X517" i="5"/>
  <c r="F517" i="5"/>
  <c r="D517" i="5"/>
  <c r="C517" i="5"/>
  <c r="B517" i="5"/>
  <c r="A517" i="5"/>
  <c r="J516" i="5"/>
  <c r="Z516" i="5"/>
  <c r="Y516" i="5"/>
  <c r="X516" i="5"/>
  <c r="F516" i="5"/>
  <c r="D516" i="5"/>
  <c r="C516" i="5"/>
  <c r="B516" i="5"/>
  <c r="A516" i="5"/>
  <c r="G515" i="5"/>
  <c r="E515" i="5"/>
  <c r="J514" i="5"/>
  <c r="F514" i="5"/>
  <c r="E514" i="5"/>
  <c r="J513" i="5"/>
  <c r="F513" i="5"/>
  <c r="E513" i="5"/>
  <c r="J512" i="5"/>
  <c r="G512" i="5"/>
  <c r="F512" i="5"/>
  <c r="J511" i="5"/>
  <c r="G511" i="5"/>
  <c r="F511" i="5"/>
  <c r="J510" i="5"/>
  <c r="G510" i="5"/>
  <c r="F510" i="5"/>
  <c r="J509" i="5"/>
  <c r="G509" i="5"/>
  <c r="F509" i="5"/>
  <c r="F507" i="5"/>
  <c r="D507" i="5"/>
  <c r="I507" i="5"/>
  <c r="C507" i="5"/>
  <c r="B507" i="5"/>
  <c r="A507" i="5"/>
  <c r="Z506" i="5"/>
  <c r="Y506" i="5"/>
  <c r="X506" i="5"/>
  <c r="G505" i="5"/>
  <c r="E505" i="5"/>
  <c r="J504" i="5"/>
  <c r="E504" i="5"/>
  <c r="J503" i="5"/>
  <c r="E503" i="5"/>
  <c r="J502" i="5"/>
  <c r="G502" i="5"/>
  <c r="F502" i="5"/>
  <c r="J501" i="5"/>
  <c r="G501" i="5"/>
  <c r="F501" i="5"/>
  <c r="J500" i="5"/>
  <c r="G500" i="5"/>
  <c r="F500" i="5"/>
  <c r="F498" i="5"/>
  <c r="D498" i="5"/>
  <c r="I498" i="5"/>
  <c r="C498" i="5"/>
  <c r="B498" i="5"/>
  <c r="A498" i="5"/>
  <c r="Z497" i="5"/>
  <c r="Y497" i="5"/>
  <c r="X497" i="5"/>
  <c r="G496" i="5"/>
  <c r="E496" i="5"/>
  <c r="J495" i="5"/>
  <c r="E495" i="5"/>
  <c r="J494" i="5"/>
  <c r="E494" i="5"/>
  <c r="J493" i="5"/>
  <c r="G493" i="5"/>
  <c r="F493" i="5"/>
  <c r="J492" i="5"/>
  <c r="G492" i="5"/>
  <c r="F492" i="5"/>
  <c r="J491" i="5"/>
  <c r="G491" i="5"/>
  <c r="F491" i="5"/>
  <c r="F489" i="5"/>
  <c r="D489" i="5"/>
  <c r="I489" i="5"/>
  <c r="C489" i="5"/>
  <c r="B489" i="5"/>
  <c r="A489" i="5"/>
  <c r="A488" i="5"/>
  <c r="Y486" i="5"/>
  <c r="X486" i="5"/>
  <c r="W486" i="5"/>
  <c r="G485" i="5"/>
  <c r="E485" i="5"/>
  <c r="J484" i="5"/>
  <c r="E484" i="5"/>
  <c r="J483" i="5"/>
  <c r="E483" i="5"/>
  <c r="J482" i="5"/>
  <c r="G482" i="5"/>
  <c r="F482" i="5"/>
  <c r="F481" i="5"/>
  <c r="E481" i="5"/>
  <c r="D481" i="5"/>
  <c r="I481" i="5"/>
  <c r="C481" i="5"/>
  <c r="B481" i="5"/>
  <c r="A481" i="5"/>
  <c r="Y480" i="5"/>
  <c r="X480" i="5"/>
  <c r="W480" i="5"/>
  <c r="G479" i="5"/>
  <c r="E479" i="5"/>
  <c r="J478" i="5"/>
  <c r="E478" i="5"/>
  <c r="J477" i="5"/>
  <c r="E477" i="5"/>
  <c r="J476" i="5"/>
  <c r="G476" i="5"/>
  <c r="F476" i="5"/>
  <c r="F474" i="5"/>
  <c r="D474" i="5"/>
  <c r="I474" i="5"/>
  <c r="C474" i="5"/>
  <c r="B474" i="5"/>
  <c r="A474" i="5"/>
  <c r="Y473" i="5"/>
  <c r="X473" i="5"/>
  <c r="W473" i="5"/>
  <c r="G472" i="5"/>
  <c r="E472" i="5"/>
  <c r="J471" i="5"/>
  <c r="E471" i="5"/>
  <c r="J470" i="5"/>
  <c r="E470" i="5"/>
  <c r="J469" i="5"/>
  <c r="G469" i="5"/>
  <c r="F469" i="5"/>
  <c r="F468" i="5"/>
  <c r="E468" i="5"/>
  <c r="D468" i="5"/>
  <c r="I468" i="5"/>
  <c r="C468" i="5"/>
  <c r="B468" i="5"/>
  <c r="A468" i="5"/>
  <c r="A467" i="5"/>
  <c r="Z465" i="5"/>
  <c r="Y465" i="5"/>
  <c r="W465" i="5"/>
  <c r="J464" i="5"/>
  <c r="Z464" i="5"/>
  <c r="Y464" i="5"/>
  <c r="W464" i="5"/>
  <c r="F464" i="5"/>
  <c r="D464" i="5"/>
  <c r="C464" i="5"/>
  <c r="B464" i="5"/>
  <c r="A464" i="5"/>
  <c r="G463" i="5"/>
  <c r="E463" i="5"/>
  <c r="J462" i="5"/>
  <c r="E462" i="5"/>
  <c r="J461" i="5"/>
  <c r="E461" i="5"/>
  <c r="J460" i="5"/>
  <c r="G460" i="5"/>
  <c r="F460" i="5"/>
  <c r="J459" i="5"/>
  <c r="G459" i="5"/>
  <c r="F459" i="5"/>
  <c r="J458" i="5"/>
  <c r="G458" i="5"/>
  <c r="F458" i="5"/>
  <c r="J457" i="5"/>
  <c r="G457" i="5"/>
  <c r="F457" i="5"/>
  <c r="F455" i="5"/>
  <c r="D455" i="5"/>
  <c r="I455" i="5"/>
  <c r="C455" i="5"/>
  <c r="B455" i="5"/>
  <c r="A455" i="5"/>
  <c r="Z454" i="5"/>
  <c r="Y454" i="5"/>
  <c r="W454" i="5"/>
  <c r="J453" i="5"/>
  <c r="Z453" i="5"/>
  <c r="Y453" i="5"/>
  <c r="W453" i="5"/>
  <c r="F453" i="5"/>
  <c r="D453" i="5"/>
  <c r="C453" i="5"/>
  <c r="B453" i="5"/>
  <c r="A453" i="5"/>
  <c r="G452" i="5"/>
  <c r="E452" i="5"/>
  <c r="J451" i="5"/>
  <c r="E451" i="5"/>
  <c r="J450" i="5"/>
  <c r="E450" i="5"/>
  <c r="J449" i="5"/>
  <c r="G449" i="5"/>
  <c r="F449" i="5"/>
  <c r="J448" i="5"/>
  <c r="G448" i="5"/>
  <c r="F448" i="5"/>
  <c r="J447" i="5"/>
  <c r="G447" i="5"/>
  <c r="F447" i="5"/>
  <c r="J446" i="5"/>
  <c r="G446" i="5"/>
  <c r="F446" i="5"/>
  <c r="F444" i="5"/>
  <c r="D444" i="5"/>
  <c r="I444" i="5"/>
  <c r="C444" i="5"/>
  <c r="B444" i="5"/>
  <c r="A444" i="5"/>
  <c r="Z443" i="5"/>
  <c r="Y443" i="5"/>
  <c r="W443" i="5"/>
  <c r="J442" i="5"/>
  <c r="Z442" i="5"/>
  <c r="Y442" i="5"/>
  <c r="W442" i="5"/>
  <c r="F442" i="5"/>
  <c r="D442" i="5"/>
  <c r="C442" i="5"/>
  <c r="B442" i="5"/>
  <c r="A442" i="5"/>
  <c r="G441" i="5"/>
  <c r="E441" i="5"/>
  <c r="J440" i="5"/>
  <c r="E440" i="5"/>
  <c r="J439" i="5"/>
  <c r="E439" i="5"/>
  <c r="J438" i="5"/>
  <c r="G438" i="5"/>
  <c r="F438" i="5"/>
  <c r="J437" i="5"/>
  <c r="G437" i="5"/>
  <c r="F437" i="5"/>
  <c r="F435" i="5"/>
  <c r="D435" i="5"/>
  <c r="I435" i="5"/>
  <c r="C435" i="5"/>
  <c r="B435" i="5"/>
  <c r="A435" i="5"/>
  <c r="Z434" i="5"/>
  <c r="Y434" i="5"/>
  <c r="W434" i="5"/>
  <c r="J433" i="5"/>
  <c r="Z433" i="5"/>
  <c r="Y433" i="5"/>
  <c r="W433" i="5"/>
  <c r="F433" i="5"/>
  <c r="D433" i="5"/>
  <c r="C433" i="5"/>
  <c r="B433" i="5"/>
  <c r="A433" i="5"/>
  <c r="G432" i="5"/>
  <c r="E432" i="5"/>
  <c r="J431" i="5"/>
  <c r="E431" i="5"/>
  <c r="J430" i="5"/>
  <c r="E430" i="5"/>
  <c r="J429" i="5"/>
  <c r="G429" i="5"/>
  <c r="F429" i="5"/>
  <c r="J428" i="5"/>
  <c r="G428" i="5"/>
  <c r="F428" i="5"/>
  <c r="J427" i="5"/>
  <c r="G427" i="5"/>
  <c r="F427" i="5"/>
  <c r="J426" i="5"/>
  <c r="G426" i="5"/>
  <c r="F426" i="5"/>
  <c r="F424" i="5"/>
  <c r="D424" i="5"/>
  <c r="I424" i="5"/>
  <c r="C424" i="5"/>
  <c r="B424" i="5"/>
  <c r="A424" i="5"/>
  <c r="Z423" i="5"/>
  <c r="Y423" i="5"/>
  <c r="W423" i="5"/>
  <c r="J422" i="5"/>
  <c r="Z422" i="5"/>
  <c r="Y422" i="5"/>
  <c r="W422" i="5"/>
  <c r="F422" i="5"/>
  <c r="D422" i="5"/>
  <c r="C422" i="5"/>
  <c r="B422" i="5"/>
  <c r="A422" i="5"/>
  <c r="G421" i="5"/>
  <c r="E421" i="5"/>
  <c r="J420" i="5"/>
  <c r="E420" i="5"/>
  <c r="J419" i="5"/>
  <c r="E419" i="5"/>
  <c r="J418" i="5"/>
  <c r="G418" i="5"/>
  <c r="F418" i="5"/>
  <c r="J417" i="5"/>
  <c r="G417" i="5"/>
  <c r="F417" i="5"/>
  <c r="J416" i="5"/>
  <c r="G416" i="5"/>
  <c r="F416" i="5"/>
  <c r="J415" i="5"/>
  <c r="G415" i="5"/>
  <c r="F415" i="5"/>
  <c r="F413" i="5"/>
  <c r="D413" i="5"/>
  <c r="I413" i="5"/>
  <c r="C413" i="5"/>
  <c r="B413" i="5"/>
  <c r="A413" i="5"/>
  <c r="Z412" i="5"/>
  <c r="Y412" i="5"/>
  <c r="W412" i="5"/>
  <c r="J411" i="5"/>
  <c r="Z411" i="5"/>
  <c r="Y411" i="5"/>
  <c r="W411" i="5"/>
  <c r="F411" i="5"/>
  <c r="D411" i="5"/>
  <c r="C411" i="5"/>
  <c r="B411" i="5"/>
  <c r="A411" i="5"/>
  <c r="J410" i="5"/>
  <c r="Z410" i="5"/>
  <c r="Y410" i="5"/>
  <c r="W410" i="5"/>
  <c r="F410" i="5"/>
  <c r="D410" i="5"/>
  <c r="C410" i="5"/>
  <c r="B410" i="5"/>
  <c r="A410" i="5"/>
  <c r="G409" i="5"/>
  <c r="E409" i="5"/>
  <c r="J408" i="5"/>
  <c r="E408" i="5"/>
  <c r="J407" i="5"/>
  <c r="E407" i="5"/>
  <c r="J406" i="5"/>
  <c r="G406" i="5"/>
  <c r="F406" i="5"/>
  <c r="J405" i="5"/>
  <c r="G405" i="5"/>
  <c r="F405" i="5"/>
  <c r="J404" i="5"/>
  <c r="G404" i="5"/>
  <c r="F404" i="5"/>
  <c r="F403" i="5"/>
  <c r="E403" i="5"/>
  <c r="D403" i="5"/>
  <c r="I403" i="5"/>
  <c r="C403" i="5"/>
  <c r="B403" i="5"/>
  <c r="A403" i="5"/>
  <c r="Z402" i="5"/>
  <c r="Y402" i="5"/>
  <c r="W402" i="5"/>
  <c r="J401" i="5"/>
  <c r="Z401" i="5"/>
  <c r="Y401" i="5"/>
  <c r="W401" i="5"/>
  <c r="F401" i="5"/>
  <c r="D401" i="5"/>
  <c r="C401" i="5"/>
  <c r="B401" i="5"/>
  <c r="A401" i="5"/>
  <c r="G400" i="5"/>
  <c r="E400" i="5"/>
  <c r="J399" i="5"/>
  <c r="E399" i="5"/>
  <c r="J398" i="5"/>
  <c r="E398" i="5"/>
  <c r="J397" i="5"/>
  <c r="G397" i="5"/>
  <c r="F397" i="5"/>
  <c r="J396" i="5"/>
  <c r="G396" i="5"/>
  <c r="F396" i="5"/>
  <c r="J395" i="5"/>
  <c r="G395" i="5"/>
  <c r="F395" i="5"/>
  <c r="J394" i="5"/>
  <c r="G394" i="5"/>
  <c r="F394" i="5"/>
  <c r="F392" i="5"/>
  <c r="D392" i="5"/>
  <c r="I392" i="5"/>
  <c r="C392" i="5"/>
  <c r="B392" i="5"/>
  <c r="A392" i="5"/>
  <c r="Z391" i="5"/>
  <c r="Y391" i="5"/>
  <c r="W391" i="5"/>
  <c r="J390" i="5"/>
  <c r="Z390" i="5"/>
  <c r="Y390" i="5"/>
  <c r="W390" i="5"/>
  <c r="F390" i="5"/>
  <c r="D390" i="5"/>
  <c r="C390" i="5"/>
  <c r="B390" i="5"/>
  <c r="A390" i="5"/>
  <c r="J389" i="5"/>
  <c r="Z389" i="5"/>
  <c r="Y389" i="5"/>
  <c r="W389" i="5"/>
  <c r="F389" i="5"/>
  <c r="D389" i="5"/>
  <c r="C389" i="5"/>
  <c r="B389" i="5"/>
  <c r="A389" i="5"/>
  <c r="G388" i="5"/>
  <c r="E388" i="5"/>
  <c r="J387" i="5"/>
  <c r="E387" i="5"/>
  <c r="J386" i="5"/>
  <c r="E386" i="5"/>
  <c r="J385" i="5"/>
  <c r="G385" i="5"/>
  <c r="F385" i="5"/>
  <c r="J384" i="5"/>
  <c r="G384" i="5"/>
  <c r="F384" i="5"/>
  <c r="J383" i="5"/>
  <c r="G383" i="5"/>
  <c r="F383" i="5"/>
  <c r="J382" i="5"/>
  <c r="G382" i="5"/>
  <c r="F382" i="5"/>
  <c r="F381" i="5"/>
  <c r="E381" i="5"/>
  <c r="D381" i="5"/>
  <c r="I381" i="5"/>
  <c r="C381" i="5"/>
  <c r="B381" i="5"/>
  <c r="A381" i="5"/>
  <c r="Z380" i="5"/>
  <c r="Y380" i="5"/>
  <c r="W380" i="5"/>
  <c r="J379" i="5"/>
  <c r="Z379" i="5"/>
  <c r="Y379" i="5"/>
  <c r="W379" i="5"/>
  <c r="F379" i="5"/>
  <c r="D379" i="5"/>
  <c r="C379" i="5"/>
  <c r="B379" i="5"/>
  <c r="A379" i="5"/>
  <c r="G378" i="5"/>
  <c r="E378" i="5"/>
  <c r="J377" i="5"/>
  <c r="E377" i="5"/>
  <c r="J376" i="5"/>
  <c r="E376" i="5"/>
  <c r="J375" i="5"/>
  <c r="G375" i="5"/>
  <c r="F375" i="5"/>
  <c r="J374" i="5"/>
  <c r="G374" i="5"/>
  <c r="F374" i="5"/>
  <c r="F373" i="5"/>
  <c r="E373" i="5"/>
  <c r="D373" i="5"/>
  <c r="I373" i="5"/>
  <c r="C373" i="5"/>
  <c r="B373" i="5"/>
  <c r="A373" i="5"/>
  <c r="Z372" i="5"/>
  <c r="Y372" i="5"/>
  <c r="W372" i="5"/>
  <c r="J371" i="5"/>
  <c r="Z371" i="5"/>
  <c r="Y371" i="5"/>
  <c r="W371" i="5"/>
  <c r="F371" i="5"/>
  <c r="D371" i="5"/>
  <c r="C371" i="5"/>
  <c r="B371" i="5"/>
  <c r="A371" i="5"/>
  <c r="G370" i="5"/>
  <c r="E370" i="5"/>
  <c r="J369" i="5"/>
  <c r="E369" i="5"/>
  <c r="J368" i="5"/>
  <c r="E368" i="5"/>
  <c r="J367" i="5"/>
  <c r="G367" i="5"/>
  <c r="F367" i="5"/>
  <c r="J366" i="5"/>
  <c r="G366" i="5"/>
  <c r="F366" i="5"/>
  <c r="J365" i="5"/>
  <c r="G365" i="5"/>
  <c r="F365" i="5"/>
  <c r="J364" i="5"/>
  <c r="G364" i="5"/>
  <c r="F364" i="5"/>
  <c r="F362" i="5"/>
  <c r="D362" i="5"/>
  <c r="I362" i="5"/>
  <c r="C362" i="5"/>
  <c r="B362" i="5"/>
  <c r="A362" i="5"/>
  <c r="Z361" i="5"/>
  <c r="Y361" i="5"/>
  <c r="W361" i="5"/>
  <c r="J360" i="5"/>
  <c r="Z360" i="5"/>
  <c r="Y360" i="5"/>
  <c r="W360" i="5"/>
  <c r="F360" i="5"/>
  <c r="D360" i="5"/>
  <c r="C360" i="5"/>
  <c r="B360" i="5"/>
  <c r="A360" i="5"/>
  <c r="G359" i="5"/>
  <c r="E359" i="5"/>
  <c r="J358" i="5"/>
  <c r="E358" i="5"/>
  <c r="J357" i="5"/>
  <c r="E357" i="5"/>
  <c r="J356" i="5"/>
  <c r="G356" i="5"/>
  <c r="F356" i="5"/>
  <c r="J355" i="5"/>
  <c r="G355" i="5"/>
  <c r="F355" i="5"/>
  <c r="J354" i="5"/>
  <c r="G354" i="5"/>
  <c r="F354" i="5"/>
  <c r="J353" i="5"/>
  <c r="G353" i="5"/>
  <c r="F353" i="5"/>
  <c r="F351" i="5"/>
  <c r="D351" i="5"/>
  <c r="I351" i="5"/>
  <c r="C351" i="5"/>
  <c r="B351" i="5"/>
  <c r="A351" i="5"/>
  <c r="Z350" i="5"/>
  <c r="Y350" i="5"/>
  <c r="W350" i="5"/>
  <c r="J349" i="5"/>
  <c r="Z349" i="5"/>
  <c r="Y349" i="5"/>
  <c r="W349" i="5"/>
  <c r="F349" i="5"/>
  <c r="D349" i="5"/>
  <c r="C349" i="5"/>
  <c r="B349" i="5"/>
  <c r="A349" i="5"/>
  <c r="G348" i="5"/>
  <c r="E348" i="5"/>
  <c r="J347" i="5"/>
  <c r="E347" i="5"/>
  <c r="J346" i="5"/>
  <c r="E346" i="5"/>
  <c r="J345" i="5"/>
  <c r="G345" i="5"/>
  <c r="F345" i="5"/>
  <c r="J344" i="5"/>
  <c r="G344" i="5"/>
  <c r="F344" i="5"/>
  <c r="J343" i="5"/>
  <c r="G343" i="5"/>
  <c r="F343" i="5"/>
  <c r="J342" i="5"/>
  <c r="G342" i="5"/>
  <c r="F342" i="5"/>
  <c r="F340" i="5"/>
  <c r="D340" i="5"/>
  <c r="I340" i="5"/>
  <c r="C340" i="5"/>
  <c r="B340" i="5"/>
  <c r="A340" i="5"/>
  <c r="Z339" i="5"/>
  <c r="Y339" i="5"/>
  <c r="W339" i="5"/>
  <c r="J338" i="5"/>
  <c r="Z338" i="5"/>
  <c r="Y338" i="5"/>
  <c r="W338" i="5"/>
  <c r="F338" i="5"/>
  <c r="D338" i="5"/>
  <c r="C338" i="5"/>
  <c r="B338" i="5"/>
  <c r="A338" i="5"/>
  <c r="G337" i="5"/>
  <c r="E337" i="5"/>
  <c r="J336" i="5"/>
  <c r="E336" i="5"/>
  <c r="J335" i="5"/>
  <c r="E335" i="5"/>
  <c r="J334" i="5"/>
  <c r="G334" i="5"/>
  <c r="F334" i="5"/>
  <c r="J333" i="5"/>
  <c r="G333" i="5"/>
  <c r="F333" i="5"/>
  <c r="J332" i="5"/>
  <c r="G332" i="5"/>
  <c r="F332" i="5"/>
  <c r="J331" i="5"/>
  <c r="G331" i="5"/>
  <c r="F331" i="5"/>
  <c r="F329" i="5"/>
  <c r="D329" i="5"/>
  <c r="I329" i="5"/>
  <c r="C329" i="5"/>
  <c r="B329" i="5"/>
  <c r="A329" i="5"/>
  <c r="A328" i="5"/>
  <c r="Z326" i="5"/>
  <c r="Y326" i="5"/>
  <c r="X326" i="5"/>
  <c r="J325" i="5"/>
  <c r="Z325" i="5"/>
  <c r="Y325" i="5"/>
  <c r="X325" i="5"/>
  <c r="F325" i="5"/>
  <c r="D325" i="5"/>
  <c r="C325" i="5"/>
  <c r="B325" i="5"/>
  <c r="A325" i="5"/>
  <c r="G324" i="5"/>
  <c r="E324" i="5"/>
  <c r="J323" i="5"/>
  <c r="F323" i="5"/>
  <c r="E323" i="5"/>
  <c r="J322" i="5"/>
  <c r="F322" i="5"/>
  <c r="E322" i="5"/>
  <c r="J321" i="5"/>
  <c r="G321" i="5"/>
  <c r="F321" i="5"/>
  <c r="J320" i="5"/>
  <c r="G320" i="5"/>
  <c r="F320" i="5"/>
  <c r="J319" i="5"/>
  <c r="G319" i="5"/>
  <c r="F319" i="5"/>
  <c r="J318" i="5"/>
  <c r="G318" i="5"/>
  <c r="F318" i="5"/>
  <c r="F317" i="5"/>
  <c r="E317" i="5"/>
  <c r="D317" i="5"/>
  <c r="I317" i="5"/>
  <c r="C317" i="5"/>
  <c r="B317" i="5"/>
  <c r="A317" i="5"/>
  <c r="Z316" i="5"/>
  <c r="Y316" i="5"/>
  <c r="X316" i="5"/>
  <c r="J315" i="5"/>
  <c r="Z315" i="5"/>
  <c r="Y315" i="5"/>
  <c r="X315" i="5"/>
  <c r="F315" i="5"/>
  <c r="D315" i="5"/>
  <c r="C315" i="5"/>
  <c r="B315" i="5"/>
  <c r="A315" i="5"/>
  <c r="J314" i="5"/>
  <c r="Z314" i="5"/>
  <c r="Y314" i="5"/>
  <c r="X314" i="5"/>
  <c r="F314" i="5"/>
  <c r="D314" i="5"/>
  <c r="C314" i="5"/>
  <c r="B314" i="5"/>
  <c r="A314" i="5"/>
  <c r="J313" i="5"/>
  <c r="Z313" i="5"/>
  <c r="Y313" i="5"/>
  <c r="X313" i="5"/>
  <c r="F313" i="5"/>
  <c r="D313" i="5"/>
  <c r="C313" i="5"/>
  <c r="B313" i="5"/>
  <c r="A313" i="5"/>
  <c r="J312" i="5"/>
  <c r="Z312" i="5"/>
  <c r="Y312" i="5"/>
  <c r="X312" i="5"/>
  <c r="F312" i="5"/>
  <c r="D312" i="5"/>
  <c r="C312" i="5"/>
  <c r="B312" i="5"/>
  <c r="A312" i="5"/>
  <c r="G311" i="5"/>
  <c r="E311" i="5"/>
  <c r="J310" i="5"/>
  <c r="F310" i="5"/>
  <c r="E310" i="5"/>
  <c r="J309" i="5"/>
  <c r="F309" i="5"/>
  <c r="E309" i="5"/>
  <c r="J308" i="5"/>
  <c r="G308" i="5"/>
  <c r="F308" i="5"/>
  <c r="J307" i="5"/>
  <c r="G307" i="5"/>
  <c r="F307" i="5"/>
  <c r="J306" i="5"/>
  <c r="G306" i="5"/>
  <c r="F306" i="5"/>
  <c r="J305" i="5"/>
  <c r="G305" i="5"/>
  <c r="F305" i="5"/>
  <c r="F303" i="5"/>
  <c r="D303" i="5"/>
  <c r="I303" i="5"/>
  <c r="C303" i="5"/>
  <c r="B303" i="5"/>
  <c r="A303" i="5"/>
  <c r="Z302" i="5"/>
  <c r="Y302" i="5"/>
  <c r="X302" i="5"/>
  <c r="G301" i="5"/>
  <c r="E301" i="5"/>
  <c r="J300" i="5"/>
  <c r="F300" i="5"/>
  <c r="E300" i="5"/>
  <c r="J299" i="5"/>
  <c r="F299" i="5"/>
  <c r="E299" i="5"/>
  <c r="J298" i="5"/>
  <c r="G298" i="5"/>
  <c r="F298" i="5"/>
  <c r="J297" i="5"/>
  <c r="G297" i="5"/>
  <c r="F297" i="5"/>
  <c r="J296" i="5"/>
  <c r="G296" i="5"/>
  <c r="F296" i="5"/>
  <c r="J295" i="5"/>
  <c r="G295" i="5"/>
  <c r="F295" i="5"/>
  <c r="F293" i="5"/>
  <c r="D293" i="5"/>
  <c r="I293" i="5"/>
  <c r="C293" i="5"/>
  <c r="B293" i="5"/>
  <c r="A293" i="5"/>
  <c r="Z292" i="5"/>
  <c r="Y292" i="5"/>
  <c r="X292" i="5"/>
  <c r="J291" i="5"/>
  <c r="Z291" i="5"/>
  <c r="Y291" i="5"/>
  <c r="X291" i="5"/>
  <c r="F291" i="5"/>
  <c r="D291" i="5"/>
  <c r="C291" i="5"/>
  <c r="B291" i="5"/>
  <c r="A291" i="5"/>
  <c r="G290" i="5"/>
  <c r="E290" i="5"/>
  <c r="J289" i="5"/>
  <c r="F289" i="5"/>
  <c r="E289" i="5"/>
  <c r="J288" i="5"/>
  <c r="F288" i="5"/>
  <c r="E288" i="5"/>
  <c r="J287" i="5"/>
  <c r="G287" i="5"/>
  <c r="F287" i="5"/>
  <c r="J286" i="5"/>
  <c r="G286" i="5"/>
  <c r="F286" i="5"/>
  <c r="J285" i="5"/>
  <c r="G285" i="5"/>
  <c r="F285" i="5"/>
  <c r="J284" i="5"/>
  <c r="G284" i="5"/>
  <c r="F284" i="5"/>
  <c r="F282" i="5"/>
  <c r="D282" i="5"/>
  <c r="I282" i="5"/>
  <c r="C282" i="5"/>
  <c r="B282" i="5"/>
  <c r="A282" i="5"/>
  <c r="Z281" i="5"/>
  <c r="Y281" i="5"/>
  <c r="X281" i="5"/>
  <c r="G280" i="5"/>
  <c r="E280" i="5"/>
  <c r="J279" i="5"/>
  <c r="F279" i="5"/>
  <c r="E279" i="5"/>
  <c r="J278" i="5"/>
  <c r="F278" i="5"/>
  <c r="E278" i="5"/>
  <c r="J277" i="5"/>
  <c r="G277" i="5"/>
  <c r="F277" i="5"/>
  <c r="J276" i="5"/>
  <c r="G276" i="5"/>
  <c r="F276" i="5"/>
  <c r="J275" i="5"/>
  <c r="G275" i="5"/>
  <c r="F275" i="5"/>
  <c r="J274" i="5"/>
  <c r="G274" i="5"/>
  <c r="F274" i="5"/>
  <c r="F272" i="5"/>
  <c r="D272" i="5"/>
  <c r="I272" i="5"/>
  <c r="C272" i="5"/>
  <c r="B272" i="5"/>
  <c r="A272" i="5"/>
  <c r="Z271" i="5"/>
  <c r="Y271" i="5"/>
  <c r="X271" i="5"/>
  <c r="J270" i="5"/>
  <c r="Z270" i="5"/>
  <c r="Y270" i="5"/>
  <c r="X270" i="5"/>
  <c r="F270" i="5"/>
  <c r="D270" i="5"/>
  <c r="C270" i="5"/>
  <c r="B270" i="5"/>
  <c r="A270" i="5"/>
  <c r="G269" i="5"/>
  <c r="E269" i="5"/>
  <c r="J268" i="5"/>
  <c r="F268" i="5"/>
  <c r="E268" i="5"/>
  <c r="J267" i="5"/>
  <c r="F267" i="5"/>
  <c r="E267" i="5"/>
  <c r="J266" i="5"/>
  <c r="G266" i="5"/>
  <c r="F266" i="5"/>
  <c r="J265" i="5"/>
  <c r="G265" i="5"/>
  <c r="F265" i="5"/>
  <c r="J264" i="5"/>
  <c r="G264" i="5"/>
  <c r="F264" i="5"/>
  <c r="F263" i="5"/>
  <c r="E263" i="5"/>
  <c r="D263" i="5"/>
  <c r="I263" i="5"/>
  <c r="C263" i="5"/>
  <c r="B263" i="5"/>
  <c r="A263" i="5"/>
  <c r="Z262" i="5"/>
  <c r="Y262" i="5"/>
  <c r="X262" i="5"/>
  <c r="J261" i="5"/>
  <c r="Z261" i="5"/>
  <c r="Y261" i="5"/>
  <c r="X261" i="5"/>
  <c r="F261" i="5"/>
  <c r="D261" i="5"/>
  <c r="C261" i="5"/>
  <c r="B261" i="5"/>
  <c r="A261" i="5"/>
  <c r="J260" i="5"/>
  <c r="Z260" i="5"/>
  <c r="Y260" i="5"/>
  <c r="X260" i="5"/>
  <c r="F260" i="5"/>
  <c r="D260" i="5"/>
  <c r="C260" i="5"/>
  <c r="B260" i="5"/>
  <c r="A260" i="5"/>
  <c r="G259" i="5"/>
  <c r="E259" i="5"/>
  <c r="J258" i="5"/>
  <c r="F258" i="5"/>
  <c r="E258" i="5"/>
  <c r="J257" i="5"/>
  <c r="F257" i="5"/>
  <c r="E257" i="5"/>
  <c r="J256" i="5"/>
  <c r="G256" i="5"/>
  <c r="F256" i="5"/>
  <c r="J255" i="5"/>
  <c r="G255" i="5"/>
  <c r="F255" i="5"/>
  <c r="J254" i="5"/>
  <c r="G254" i="5"/>
  <c r="F254" i="5"/>
  <c r="J253" i="5"/>
  <c r="G253" i="5"/>
  <c r="F253" i="5"/>
  <c r="F252" i="5"/>
  <c r="E252" i="5"/>
  <c r="D252" i="5"/>
  <c r="I252" i="5"/>
  <c r="C252" i="5"/>
  <c r="B252" i="5"/>
  <c r="A252" i="5"/>
  <c r="Z251" i="5"/>
  <c r="Y251" i="5"/>
  <c r="X251" i="5"/>
  <c r="J250" i="5"/>
  <c r="Z250" i="5"/>
  <c r="Y250" i="5"/>
  <c r="X250" i="5"/>
  <c r="F250" i="5"/>
  <c r="D250" i="5"/>
  <c r="C250" i="5"/>
  <c r="B250" i="5"/>
  <c r="A250" i="5"/>
  <c r="J249" i="5"/>
  <c r="Z249" i="5"/>
  <c r="Y249" i="5"/>
  <c r="X249" i="5"/>
  <c r="F249" i="5"/>
  <c r="D249" i="5"/>
  <c r="C249" i="5"/>
  <c r="B249" i="5"/>
  <c r="A249" i="5"/>
  <c r="G248" i="5"/>
  <c r="E248" i="5"/>
  <c r="J247" i="5"/>
  <c r="E247" i="5"/>
  <c r="J246" i="5"/>
  <c r="E246" i="5"/>
  <c r="J245" i="5"/>
  <c r="G245" i="5"/>
  <c r="F245" i="5"/>
  <c r="J244" i="5"/>
  <c r="G244" i="5"/>
  <c r="F244" i="5"/>
  <c r="J243" i="5"/>
  <c r="G243" i="5"/>
  <c r="F243" i="5"/>
  <c r="J242" i="5"/>
  <c r="G242" i="5"/>
  <c r="F242" i="5"/>
  <c r="F240" i="5"/>
  <c r="D240" i="5"/>
  <c r="I240" i="5"/>
  <c r="C240" i="5"/>
  <c r="B240" i="5"/>
  <c r="A240" i="5"/>
  <c r="Z239" i="5"/>
  <c r="Y239" i="5"/>
  <c r="X239" i="5"/>
  <c r="J238" i="5"/>
  <c r="Z238" i="5"/>
  <c r="Y238" i="5"/>
  <c r="X238" i="5"/>
  <c r="F238" i="5"/>
  <c r="D238" i="5"/>
  <c r="C238" i="5"/>
  <c r="B238" i="5"/>
  <c r="A238" i="5"/>
  <c r="J237" i="5"/>
  <c r="Z237" i="5"/>
  <c r="Y237" i="5"/>
  <c r="X237" i="5"/>
  <c r="F237" i="5"/>
  <c r="D237" i="5"/>
  <c r="C237" i="5"/>
  <c r="B237" i="5"/>
  <c r="A237" i="5"/>
  <c r="G236" i="5"/>
  <c r="E236" i="5"/>
  <c r="J235" i="5"/>
  <c r="F235" i="5"/>
  <c r="E235" i="5"/>
  <c r="J234" i="5"/>
  <c r="F234" i="5"/>
  <c r="E234" i="5"/>
  <c r="J233" i="5"/>
  <c r="G233" i="5"/>
  <c r="F233" i="5"/>
  <c r="J232" i="5"/>
  <c r="G232" i="5"/>
  <c r="F232" i="5"/>
  <c r="J231" i="5"/>
  <c r="G231" i="5"/>
  <c r="F231" i="5"/>
  <c r="J230" i="5"/>
  <c r="G230" i="5"/>
  <c r="F230" i="5"/>
  <c r="F228" i="5"/>
  <c r="D228" i="5"/>
  <c r="I228" i="5"/>
  <c r="C228" i="5"/>
  <c r="B228" i="5"/>
  <c r="A228" i="5"/>
  <c r="Z227" i="5"/>
  <c r="Y227" i="5"/>
  <c r="X227" i="5"/>
  <c r="J226" i="5"/>
  <c r="Z226" i="5"/>
  <c r="Y226" i="5"/>
  <c r="X226" i="5"/>
  <c r="F226" i="5"/>
  <c r="D226" i="5"/>
  <c r="C226" i="5"/>
  <c r="B226" i="5"/>
  <c r="A226" i="5"/>
  <c r="J225" i="5"/>
  <c r="Z225" i="5"/>
  <c r="Y225" i="5"/>
  <c r="X225" i="5"/>
  <c r="F225" i="5"/>
  <c r="D225" i="5"/>
  <c r="C225" i="5"/>
  <c r="B225" i="5"/>
  <c r="A225" i="5"/>
  <c r="J224" i="5"/>
  <c r="Z224" i="5"/>
  <c r="Y224" i="5"/>
  <c r="X224" i="5"/>
  <c r="F224" i="5"/>
  <c r="D224" i="5"/>
  <c r="C224" i="5"/>
  <c r="B224" i="5"/>
  <c r="A224" i="5"/>
  <c r="J223" i="5"/>
  <c r="Z223" i="5"/>
  <c r="Y223" i="5"/>
  <c r="X223" i="5"/>
  <c r="F223" i="5"/>
  <c r="D223" i="5"/>
  <c r="C223" i="5"/>
  <c r="B223" i="5"/>
  <c r="A223" i="5"/>
  <c r="J222" i="5"/>
  <c r="Z222" i="5"/>
  <c r="Y222" i="5"/>
  <c r="X222" i="5"/>
  <c r="F222" i="5"/>
  <c r="D222" i="5"/>
  <c r="C222" i="5"/>
  <c r="B222" i="5"/>
  <c r="A222" i="5"/>
  <c r="J221" i="5"/>
  <c r="Z221" i="5"/>
  <c r="Y221" i="5"/>
  <c r="X221" i="5"/>
  <c r="F221" i="5"/>
  <c r="D221" i="5"/>
  <c r="C221" i="5"/>
  <c r="B221" i="5"/>
  <c r="A221" i="5"/>
  <c r="J220" i="5"/>
  <c r="Z220" i="5"/>
  <c r="Y220" i="5"/>
  <c r="X220" i="5"/>
  <c r="F220" i="5"/>
  <c r="D220" i="5"/>
  <c r="C220" i="5"/>
  <c r="B220" i="5"/>
  <c r="A220" i="5"/>
  <c r="J219" i="5"/>
  <c r="Z219" i="5"/>
  <c r="Y219" i="5"/>
  <c r="X219" i="5"/>
  <c r="F219" i="5"/>
  <c r="D219" i="5"/>
  <c r="C219" i="5"/>
  <c r="B219" i="5"/>
  <c r="A219" i="5"/>
  <c r="J218" i="5"/>
  <c r="Z218" i="5"/>
  <c r="Y218" i="5"/>
  <c r="X218" i="5"/>
  <c r="F218" i="5"/>
  <c r="D218" i="5"/>
  <c r="C218" i="5"/>
  <c r="B218" i="5"/>
  <c r="A218" i="5"/>
  <c r="J217" i="5"/>
  <c r="Z217" i="5"/>
  <c r="Y217" i="5"/>
  <c r="X217" i="5"/>
  <c r="F217" i="5"/>
  <c r="D217" i="5"/>
  <c r="C217" i="5"/>
  <c r="B217" i="5"/>
  <c r="A217" i="5"/>
  <c r="G216" i="5"/>
  <c r="E216" i="5"/>
  <c r="J215" i="5"/>
  <c r="F215" i="5"/>
  <c r="E215" i="5"/>
  <c r="J214" i="5"/>
  <c r="F214" i="5"/>
  <c r="E214" i="5"/>
  <c r="J213" i="5"/>
  <c r="G213" i="5"/>
  <c r="F213" i="5"/>
  <c r="J212" i="5"/>
  <c r="G212" i="5"/>
  <c r="F212" i="5"/>
  <c r="J211" i="5"/>
  <c r="G211" i="5"/>
  <c r="F211" i="5"/>
  <c r="J210" i="5"/>
  <c r="G210" i="5"/>
  <c r="F210" i="5"/>
  <c r="F208" i="5"/>
  <c r="D208" i="5"/>
  <c r="I208" i="5"/>
  <c r="C208" i="5"/>
  <c r="B208" i="5"/>
  <c r="A208" i="5"/>
  <c r="Z207" i="5"/>
  <c r="Y207" i="5"/>
  <c r="X207" i="5"/>
  <c r="J206" i="5"/>
  <c r="Z206" i="5"/>
  <c r="Y206" i="5"/>
  <c r="X206" i="5"/>
  <c r="F206" i="5"/>
  <c r="D206" i="5"/>
  <c r="C206" i="5"/>
  <c r="B206" i="5"/>
  <c r="A206" i="5"/>
  <c r="J205" i="5"/>
  <c r="Z205" i="5"/>
  <c r="Y205" i="5"/>
  <c r="X205" i="5"/>
  <c r="F205" i="5"/>
  <c r="D205" i="5"/>
  <c r="C205" i="5"/>
  <c r="B205" i="5"/>
  <c r="A205" i="5"/>
  <c r="G204" i="5"/>
  <c r="E204" i="5"/>
  <c r="J203" i="5"/>
  <c r="F203" i="5"/>
  <c r="E203" i="5"/>
  <c r="J202" i="5"/>
  <c r="F202" i="5"/>
  <c r="E202" i="5"/>
  <c r="J201" i="5"/>
  <c r="G201" i="5"/>
  <c r="F201" i="5"/>
  <c r="J200" i="5"/>
  <c r="G200" i="5"/>
  <c r="F200" i="5"/>
  <c r="J199" i="5"/>
  <c r="G199" i="5"/>
  <c r="F199" i="5"/>
  <c r="J198" i="5"/>
  <c r="G198" i="5"/>
  <c r="F198" i="5"/>
  <c r="F196" i="5"/>
  <c r="D196" i="5"/>
  <c r="I196" i="5"/>
  <c r="C196" i="5"/>
  <c r="B196" i="5"/>
  <c r="A196" i="5"/>
  <c r="Z195" i="5"/>
  <c r="Y195" i="5"/>
  <c r="X195" i="5"/>
  <c r="G194" i="5"/>
  <c r="E194" i="5"/>
  <c r="J193" i="5"/>
  <c r="F193" i="5"/>
  <c r="E193" i="5"/>
  <c r="J192" i="5"/>
  <c r="F192" i="5"/>
  <c r="E192" i="5"/>
  <c r="J191" i="5"/>
  <c r="G191" i="5"/>
  <c r="F191" i="5"/>
  <c r="J190" i="5"/>
  <c r="G190" i="5"/>
  <c r="F190" i="5"/>
  <c r="J189" i="5"/>
  <c r="G189" i="5"/>
  <c r="F189" i="5"/>
  <c r="J188" i="5"/>
  <c r="G188" i="5"/>
  <c r="F188" i="5"/>
  <c r="F186" i="5"/>
  <c r="D186" i="5"/>
  <c r="I186" i="5"/>
  <c r="C186" i="5"/>
  <c r="B186" i="5"/>
  <c r="A186" i="5"/>
  <c r="Z185" i="5"/>
  <c r="Y185" i="5"/>
  <c r="X185" i="5"/>
  <c r="J184" i="5"/>
  <c r="Z184" i="5"/>
  <c r="Y184" i="5"/>
  <c r="X184" i="5"/>
  <c r="F184" i="5"/>
  <c r="D184" i="5"/>
  <c r="C184" i="5"/>
  <c r="B184" i="5"/>
  <c r="A184" i="5"/>
  <c r="J183" i="5"/>
  <c r="Z183" i="5"/>
  <c r="Y183" i="5"/>
  <c r="X183" i="5"/>
  <c r="F183" i="5"/>
  <c r="D183" i="5"/>
  <c r="C183" i="5"/>
  <c r="B183" i="5"/>
  <c r="A183" i="5"/>
  <c r="G182" i="5"/>
  <c r="E182" i="5"/>
  <c r="J181" i="5"/>
  <c r="F181" i="5"/>
  <c r="E181" i="5"/>
  <c r="J180" i="5"/>
  <c r="F180" i="5"/>
  <c r="E180" i="5"/>
  <c r="J179" i="5"/>
  <c r="G179" i="5"/>
  <c r="F179" i="5"/>
  <c r="J178" i="5"/>
  <c r="G178" i="5"/>
  <c r="F178" i="5"/>
  <c r="J177" i="5"/>
  <c r="G177" i="5"/>
  <c r="F177" i="5"/>
  <c r="J176" i="5"/>
  <c r="G176" i="5"/>
  <c r="F176" i="5"/>
  <c r="F174" i="5"/>
  <c r="D174" i="5"/>
  <c r="I174" i="5"/>
  <c r="C174" i="5"/>
  <c r="B174" i="5"/>
  <c r="A174" i="5"/>
  <c r="Z173" i="5"/>
  <c r="Y173" i="5"/>
  <c r="X173" i="5"/>
  <c r="J172" i="5"/>
  <c r="Z172" i="5"/>
  <c r="Y172" i="5"/>
  <c r="X172" i="5"/>
  <c r="F172" i="5"/>
  <c r="D172" i="5"/>
  <c r="C172" i="5"/>
  <c r="B172" i="5"/>
  <c r="A172" i="5"/>
  <c r="J171" i="5"/>
  <c r="Z171" i="5"/>
  <c r="Y171" i="5"/>
  <c r="X171" i="5"/>
  <c r="F171" i="5"/>
  <c r="D171" i="5"/>
  <c r="C171" i="5"/>
  <c r="B171" i="5"/>
  <c r="A171" i="5"/>
  <c r="J170" i="5"/>
  <c r="Z170" i="5"/>
  <c r="Y170" i="5"/>
  <c r="X170" i="5"/>
  <c r="F170" i="5"/>
  <c r="D170" i="5"/>
  <c r="C170" i="5"/>
  <c r="B170" i="5"/>
  <c r="A170" i="5"/>
  <c r="G169" i="5"/>
  <c r="E169" i="5"/>
  <c r="J168" i="5"/>
  <c r="F168" i="5"/>
  <c r="E168" i="5"/>
  <c r="J167" i="5"/>
  <c r="F167" i="5"/>
  <c r="E167" i="5"/>
  <c r="J166" i="5"/>
  <c r="G166" i="5"/>
  <c r="F166" i="5"/>
  <c r="J165" i="5"/>
  <c r="G165" i="5"/>
  <c r="F165" i="5"/>
  <c r="J164" i="5"/>
  <c r="G164" i="5"/>
  <c r="F164" i="5"/>
  <c r="J163" i="5"/>
  <c r="G163" i="5"/>
  <c r="F163" i="5"/>
  <c r="F161" i="5"/>
  <c r="D161" i="5"/>
  <c r="I161" i="5"/>
  <c r="C161" i="5"/>
  <c r="B161" i="5"/>
  <c r="A161" i="5"/>
  <c r="Z160" i="5"/>
  <c r="Y160" i="5"/>
  <c r="X160" i="5"/>
  <c r="J159" i="5"/>
  <c r="Z159" i="5"/>
  <c r="Y159" i="5"/>
  <c r="X159" i="5"/>
  <c r="F159" i="5"/>
  <c r="D159" i="5"/>
  <c r="C159" i="5"/>
  <c r="B159" i="5"/>
  <c r="A159" i="5"/>
  <c r="J158" i="5"/>
  <c r="Z158" i="5"/>
  <c r="Y158" i="5"/>
  <c r="X158" i="5"/>
  <c r="F158" i="5"/>
  <c r="D158" i="5"/>
  <c r="C158" i="5"/>
  <c r="B158" i="5"/>
  <c r="A158" i="5"/>
  <c r="G157" i="5"/>
  <c r="E157" i="5"/>
  <c r="J156" i="5"/>
  <c r="F156" i="5"/>
  <c r="E156" i="5"/>
  <c r="J155" i="5"/>
  <c r="F155" i="5"/>
  <c r="E155" i="5"/>
  <c r="J154" i="5"/>
  <c r="G154" i="5"/>
  <c r="F154" i="5"/>
  <c r="J153" i="5"/>
  <c r="G153" i="5"/>
  <c r="F153" i="5"/>
  <c r="J152" i="5"/>
  <c r="G152" i="5"/>
  <c r="F152" i="5"/>
  <c r="J151" i="5"/>
  <c r="G151" i="5"/>
  <c r="F151" i="5"/>
  <c r="F149" i="5"/>
  <c r="D149" i="5"/>
  <c r="I149" i="5"/>
  <c r="C149" i="5"/>
  <c r="B149" i="5"/>
  <c r="A149" i="5"/>
  <c r="Z148" i="5"/>
  <c r="Y148" i="5"/>
  <c r="X148" i="5"/>
  <c r="J147" i="5"/>
  <c r="Z147" i="5"/>
  <c r="Y147" i="5"/>
  <c r="X147" i="5"/>
  <c r="F147" i="5"/>
  <c r="D147" i="5"/>
  <c r="C147" i="5"/>
  <c r="B147" i="5"/>
  <c r="A147" i="5"/>
  <c r="J146" i="5"/>
  <c r="Z146" i="5"/>
  <c r="Y146" i="5"/>
  <c r="X146" i="5"/>
  <c r="F146" i="5"/>
  <c r="D146" i="5"/>
  <c r="C146" i="5"/>
  <c r="B146" i="5"/>
  <c r="A146" i="5"/>
  <c r="G145" i="5"/>
  <c r="E145" i="5"/>
  <c r="J144" i="5"/>
  <c r="F144" i="5"/>
  <c r="E144" i="5"/>
  <c r="J143" i="5"/>
  <c r="F143" i="5"/>
  <c r="E143" i="5"/>
  <c r="J142" i="5"/>
  <c r="G142" i="5"/>
  <c r="F142" i="5"/>
  <c r="J141" i="5"/>
  <c r="G141" i="5"/>
  <c r="F141" i="5"/>
  <c r="J140" i="5"/>
  <c r="G140" i="5"/>
  <c r="F140" i="5"/>
  <c r="J139" i="5"/>
  <c r="G139" i="5"/>
  <c r="F139" i="5"/>
  <c r="F137" i="5"/>
  <c r="D137" i="5"/>
  <c r="I137" i="5"/>
  <c r="C137" i="5"/>
  <c r="B137" i="5"/>
  <c r="A137" i="5"/>
  <c r="Z136" i="5"/>
  <c r="Y136" i="5"/>
  <c r="X136" i="5"/>
  <c r="J135" i="5"/>
  <c r="Z135" i="5"/>
  <c r="Y135" i="5"/>
  <c r="X135" i="5"/>
  <c r="F135" i="5"/>
  <c r="D135" i="5"/>
  <c r="C135" i="5"/>
  <c r="B135" i="5"/>
  <c r="A135" i="5"/>
  <c r="J134" i="5"/>
  <c r="Z134" i="5"/>
  <c r="Y134" i="5"/>
  <c r="X134" i="5"/>
  <c r="F134" i="5"/>
  <c r="D134" i="5"/>
  <c r="C134" i="5"/>
  <c r="B134" i="5"/>
  <c r="A134" i="5"/>
  <c r="G133" i="5"/>
  <c r="E133" i="5"/>
  <c r="J132" i="5"/>
  <c r="F132" i="5"/>
  <c r="E132" i="5"/>
  <c r="J131" i="5"/>
  <c r="F131" i="5"/>
  <c r="E131" i="5"/>
  <c r="J130" i="5"/>
  <c r="G130" i="5"/>
  <c r="F130" i="5"/>
  <c r="J129" i="5"/>
  <c r="G129" i="5"/>
  <c r="F129" i="5"/>
  <c r="J128" i="5"/>
  <c r="G128" i="5"/>
  <c r="F128" i="5"/>
  <c r="J127" i="5"/>
  <c r="G127" i="5"/>
  <c r="F127" i="5"/>
  <c r="F125" i="5"/>
  <c r="D125" i="5"/>
  <c r="I125" i="5"/>
  <c r="C125" i="5"/>
  <c r="B125" i="5"/>
  <c r="A125" i="5"/>
  <c r="Z124" i="5"/>
  <c r="Y124" i="5"/>
  <c r="X124" i="5"/>
  <c r="J123" i="5"/>
  <c r="Z123" i="5"/>
  <c r="Y123" i="5"/>
  <c r="X123" i="5"/>
  <c r="F123" i="5"/>
  <c r="D123" i="5"/>
  <c r="C123" i="5"/>
  <c r="B123" i="5"/>
  <c r="A123" i="5"/>
  <c r="J122" i="5"/>
  <c r="Z122" i="5"/>
  <c r="Y122" i="5"/>
  <c r="X122" i="5"/>
  <c r="F122" i="5"/>
  <c r="D122" i="5"/>
  <c r="C122" i="5"/>
  <c r="B122" i="5"/>
  <c r="A122" i="5"/>
  <c r="G121" i="5"/>
  <c r="E121" i="5"/>
  <c r="J120" i="5"/>
  <c r="F120" i="5"/>
  <c r="E120" i="5"/>
  <c r="J119" i="5"/>
  <c r="F119" i="5"/>
  <c r="E119" i="5"/>
  <c r="J118" i="5"/>
  <c r="G118" i="5"/>
  <c r="F118" i="5"/>
  <c r="J117" i="5"/>
  <c r="G117" i="5"/>
  <c r="F117" i="5"/>
  <c r="J116" i="5"/>
  <c r="G116" i="5"/>
  <c r="F116" i="5"/>
  <c r="J115" i="5"/>
  <c r="G115" i="5"/>
  <c r="F115" i="5"/>
  <c r="F113" i="5"/>
  <c r="D113" i="5"/>
  <c r="I113" i="5"/>
  <c r="C113" i="5"/>
  <c r="B113" i="5"/>
  <c r="A113" i="5"/>
  <c r="Z112" i="5"/>
  <c r="Y112" i="5"/>
  <c r="X112" i="5"/>
  <c r="J111" i="5"/>
  <c r="Z111" i="5"/>
  <c r="Y111" i="5"/>
  <c r="X111" i="5"/>
  <c r="F111" i="5"/>
  <c r="D111" i="5"/>
  <c r="C111" i="5"/>
  <c r="B111" i="5"/>
  <c r="A111" i="5"/>
  <c r="J110" i="5"/>
  <c r="Z110" i="5"/>
  <c r="Y110" i="5"/>
  <c r="X110" i="5"/>
  <c r="F110" i="5"/>
  <c r="D110" i="5"/>
  <c r="C110" i="5"/>
  <c r="B110" i="5"/>
  <c r="A110" i="5"/>
  <c r="G109" i="5"/>
  <c r="E109" i="5"/>
  <c r="J108" i="5"/>
  <c r="F108" i="5"/>
  <c r="E108" i="5"/>
  <c r="J107" i="5"/>
  <c r="F107" i="5"/>
  <c r="E107" i="5"/>
  <c r="J106" i="5"/>
  <c r="G106" i="5"/>
  <c r="F106" i="5"/>
  <c r="J105" i="5"/>
  <c r="G105" i="5"/>
  <c r="F105" i="5"/>
  <c r="J104" i="5"/>
  <c r="G104" i="5"/>
  <c r="F104" i="5"/>
  <c r="J103" i="5"/>
  <c r="G103" i="5"/>
  <c r="F103" i="5"/>
  <c r="F101" i="5"/>
  <c r="D101" i="5"/>
  <c r="I101" i="5"/>
  <c r="C101" i="5"/>
  <c r="B101" i="5"/>
  <c r="A101" i="5"/>
  <c r="Z100" i="5"/>
  <c r="Y100" i="5"/>
  <c r="X100" i="5"/>
  <c r="G99" i="5"/>
  <c r="E99" i="5"/>
  <c r="J98" i="5"/>
  <c r="F98" i="5"/>
  <c r="E98" i="5"/>
  <c r="J97" i="5"/>
  <c r="F97" i="5"/>
  <c r="E97" i="5"/>
  <c r="J96" i="5"/>
  <c r="G96" i="5"/>
  <c r="F96" i="5"/>
  <c r="J95" i="5"/>
  <c r="G95" i="5"/>
  <c r="F95" i="5"/>
  <c r="J94" i="5"/>
  <c r="G94" i="5"/>
  <c r="F94" i="5"/>
  <c r="J93" i="5"/>
  <c r="G93" i="5"/>
  <c r="F93" i="5"/>
  <c r="F91" i="5"/>
  <c r="D91" i="5"/>
  <c r="I91" i="5"/>
  <c r="C91" i="5"/>
  <c r="B91" i="5"/>
  <c r="A91" i="5"/>
  <c r="Z90" i="5"/>
  <c r="Y90" i="5"/>
  <c r="X90" i="5"/>
  <c r="J89" i="5"/>
  <c r="Z89" i="5"/>
  <c r="Y89" i="5"/>
  <c r="X89" i="5"/>
  <c r="F89" i="5"/>
  <c r="D89" i="5"/>
  <c r="C89" i="5"/>
  <c r="B89" i="5"/>
  <c r="A89" i="5"/>
  <c r="G88" i="5"/>
  <c r="E88" i="5"/>
  <c r="J87" i="5"/>
  <c r="F87" i="5"/>
  <c r="E87" i="5"/>
  <c r="J86" i="5"/>
  <c r="F86" i="5"/>
  <c r="E86" i="5"/>
  <c r="J85" i="5"/>
  <c r="G85" i="5"/>
  <c r="F85" i="5"/>
  <c r="J84" i="5"/>
  <c r="G84" i="5"/>
  <c r="F84" i="5"/>
  <c r="J83" i="5"/>
  <c r="G83" i="5"/>
  <c r="F83" i="5"/>
  <c r="J82" i="5"/>
  <c r="G82" i="5"/>
  <c r="F82" i="5"/>
  <c r="F80" i="5"/>
  <c r="D80" i="5"/>
  <c r="I80" i="5"/>
  <c r="C80" i="5"/>
  <c r="B80" i="5"/>
  <c r="A80" i="5"/>
  <c r="Z79" i="5"/>
  <c r="Y79" i="5"/>
  <c r="X79" i="5"/>
  <c r="J78" i="5"/>
  <c r="Z78" i="5"/>
  <c r="Y78" i="5"/>
  <c r="X78" i="5"/>
  <c r="F78" i="5"/>
  <c r="D78" i="5"/>
  <c r="C78" i="5"/>
  <c r="B78" i="5"/>
  <c r="A78" i="5"/>
  <c r="J77" i="5"/>
  <c r="Z77" i="5"/>
  <c r="Y77" i="5"/>
  <c r="X77" i="5"/>
  <c r="F77" i="5"/>
  <c r="D77" i="5"/>
  <c r="C77" i="5"/>
  <c r="B77" i="5"/>
  <c r="A77" i="5"/>
  <c r="G76" i="5"/>
  <c r="E76" i="5"/>
  <c r="J75" i="5"/>
  <c r="F75" i="5"/>
  <c r="E75" i="5"/>
  <c r="J74" i="5"/>
  <c r="F74" i="5"/>
  <c r="E74" i="5"/>
  <c r="J73" i="5"/>
  <c r="G73" i="5"/>
  <c r="F73" i="5"/>
  <c r="J72" i="5"/>
  <c r="G72" i="5"/>
  <c r="F72" i="5"/>
  <c r="J71" i="5"/>
  <c r="G71" i="5"/>
  <c r="F71" i="5"/>
  <c r="J70" i="5"/>
  <c r="G70" i="5"/>
  <c r="F70" i="5"/>
  <c r="F68" i="5"/>
  <c r="D68" i="5"/>
  <c r="I68" i="5"/>
  <c r="C68" i="5"/>
  <c r="B68" i="5"/>
  <c r="A68" i="5"/>
  <c r="Z67" i="5"/>
  <c r="Y67" i="5"/>
  <c r="X67" i="5"/>
  <c r="G66" i="5"/>
  <c r="E66" i="5"/>
  <c r="J65" i="5"/>
  <c r="F65" i="5"/>
  <c r="E65" i="5"/>
  <c r="J64" i="5"/>
  <c r="F64" i="5"/>
  <c r="E64" i="5"/>
  <c r="J63" i="5"/>
  <c r="G63" i="5"/>
  <c r="F63" i="5"/>
  <c r="J62" i="5"/>
  <c r="G62" i="5"/>
  <c r="F62" i="5"/>
  <c r="J61" i="5"/>
  <c r="G61" i="5"/>
  <c r="F61" i="5"/>
  <c r="F59" i="5"/>
  <c r="D59" i="5"/>
  <c r="I59" i="5"/>
  <c r="C59" i="5"/>
  <c r="B59" i="5"/>
  <c r="A59" i="5"/>
  <c r="Z58" i="5"/>
  <c r="Y58" i="5"/>
  <c r="X58" i="5"/>
  <c r="G57" i="5"/>
  <c r="E57" i="5"/>
  <c r="J56" i="5"/>
  <c r="F56" i="5"/>
  <c r="E56" i="5"/>
  <c r="J55" i="5"/>
  <c r="F55" i="5"/>
  <c r="E55" i="5"/>
  <c r="J54" i="5"/>
  <c r="G54" i="5"/>
  <c r="F54" i="5"/>
  <c r="J53" i="5"/>
  <c r="G53" i="5"/>
  <c r="F53" i="5"/>
  <c r="J52" i="5"/>
  <c r="G52" i="5"/>
  <c r="F52" i="5"/>
  <c r="F50" i="5"/>
  <c r="D50" i="5"/>
  <c r="I50" i="5"/>
  <c r="C50" i="5"/>
  <c r="B50" i="5"/>
  <c r="A50" i="5"/>
  <c r="Z49" i="5"/>
  <c r="Y49" i="5"/>
  <c r="X49" i="5"/>
  <c r="G48" i="5"/>
  <c r="E48" i="5"/>
  <c r="J47" i="5"/>
  <c r="F47" i="5"/>
  <c r="E47" i="5"/>
  <c r="J46" i="5"/>
  <c r="F46" i="5"/>
  <c r="E46" i="5"/>
  <c r="J45" i="5"/>
  <c r="G45" i="5"/>
  <c r="F45" i="5"/>
  <c r="J44" i="5"/>
  <c r="G44" i="5"/>
  <c r="F44" i="5"/>
  <c r="J43" i="5"/>
  <c r="G43" i="5"/>
  <c r="F43" i="5"/>
  <c r="F42" i="5"/>
  <c r="E42" i="5"/>
  <c r="D42" i="5"/>
  <c r="I42" i="5"/>
  <c r="C42" i="5"/>
  <c r="B42" i="5"/>
  <c r="A42" i="5"/>
  <c r="Z41" i="5"/>
  <c r="Y41" i="5"/>
  <c r="X41" i="5"/>
  <c r="G40" i="5"/>
  <c r="E40" i="5"/>
  <c r="J39" i="5"/>
  <c r="F39" i="5"/>
  <c r="E39" i="5"/>
  <c r="J38" i="5"/>
  <c r="F38" i="5"/>
  <c r="E38" i="5"/>
  <c r="J37" i="5"/>
  <c r="G37" i="5"/>
  <c r="F37" i="5"/>
  <c r="J36" i="5"/>
  <c r="G36" i="5"/>
  <c r="F36" i="5"/>
  <c r="J35" i="5"/>
  <c r="G35" i="5"/>
  <c r="F35" i="5"/>
  <c r="F34" i="5"/>
  <c r="E34" i="5"/>
  <c r="D34" i="5"/>
  <c r="I34" i="5"/>
  <c r="C34" i="5"/>
  <c r="B34" i="5"/>
  <c r="A34" i="5"/>
  <c r="Z33" i="5"/>
  <c r="Y33" i="5"/>
  <c r="X33" i="5"/>
  <c r="G32" i="5"/>
  <c r="E32" i="5"/>
  <c r="J31" i="5"/>
  <c r="E31" i="5"/>
  <c r="J30" i="5"/>
  <c r="E30" i="5"/>
  <c r="J29" i="5"/>
  <c r="G29" i="5"/>
  <c r="F29" i="5"/>
  <c r="J28" i="5"/>
  <c r="G28" i="5"/>
  <c r="F28" i="5"/>
  <c r="J27" i="5"/>
  <c r="G27" i="5"/>
  <c r="F27" i="5"/>
  <c r="F25" i="5"/>
  <c r="D25" i="5"/>
  <c r="I25" i="5"/>
  <c r="C25" i="5"/>
  <c r="B25" i="5"/>
  <c r="A25" i="5"/>
  <c r="A24" i="5"/>
  <c r="B7" i="5"/>
  <c r="A1" i="5"/>
  <c r="G16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A529" i="3"/>
  <c r="CY529" i="3"/>
  <c r="CZ529" i="3"/>
  <c r="DA529" i="3"/>
  <c r="A530" i="3"/>
  <c r="CY530" i="3"/>
  <c r="CZ530" i="3"/>
  <c r="DA530" i="3"/>
  <c r="A531" i="3"/>
  <c r="CY531" i="3"/>
  <c r="CZ531" i="3"/>
  <c r="DA531" i="3"/>
  <c r="A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E28" i="1"/>
  <c r="AF28" i="1"/>
  <c r="AG28" i="1"/>
  <c r="CU28" i="1" s="1"/>
  <c r="T28" i="1" s="1"/>
  <c r="AH28" i="1"/>
  <c r="AI28" i="1"/>
  <c r="CW28" i="1" s="1"/>
  <c r="V28" i="1" s="1"/>
  <c r="AJ28" i="1"/>
  <c r="CS28" i="1"/>
  <c r="R28" i="1" s="1"/>
  <c r="K29" i="5" s="1"/>
  <c r="CT28" i="1"/>
  <c r="S28" i="1" s="1"/>
  <c r="K27" i="5" s="1"/>
  <c r="CV28" i="1"/>
  <c r="U28" i="1" s="1"/>
  <c r="CX28" i="1"/>
  <c r="W28" i="1" s="1"/>
  <c r="FR28" i="1"/>
  <c r="GK28" i="1"/>
  <c r="GL28" i="1"/>
  <c r="GO28" i="1"/>
  <c r="GP28" i="1"/>
  <c r="GV28" i="1"/>
  <c r="GX28" i="1"/>
  <c r="C29" i="1"/>
  <c r="D29" i="1"/>
  <c r="AC29" i="1"/>
  <c r="H37" i="5" s="1"/>
  <c r="AE29" i="1"/>
  <c r="AD29" i="1" s="1"/>
  <c r="AF29" i="1"/>
  <c r="AG29" i="1"/>
  <c r="CU29" i="1" s="1"/>
  <c r="T29" i="1" s="1"/>
  <c r="AH29" i="1"/>
  <c r="AI29" i="1"/>
  <c r="CW29" i="1" s="1"/>
  <c r="V29" i="1" s="1"/>
  <c r="AJ29" i="1"/>
  <c r="CX29" i="1" s="1"/>
  <c r="W29" i="1" s="1"/>
  <c r="CQ29" i="1"/>
  <c r="P29" i="1" s="1"/>
  <c r="CV29" i="1"/>
  <c r="U29" i="1" s="1"/>
  <c r="FR29" i="1"/>
  <c r="GL29" i="1"/>
  <c r="GO29" i="1"/>
  <c r="GP29" i="1"/>
  <c r="GV29" i="1"/>
  <c r="GX29" i="1" s="1"/>
  <c r="C30" i="1"/>
  <c r="D30" i="1"/>
  <c r="AC30" i="1"/>
  <c r="CQ30" i="1" s="1"/>
  <c r="P30" i="1" s="1"/>
  <c r="AE30" i="1"/>
  <c r="H45" i="5" s="1"/>
  <c r="R45" i="5" s="1"/>
  <c r="AF30" i="1"/>
  <c r="CT30" i="1" s="1"/>
  <c r="S30" i="1" s="1"/>
  <c r="AG30" i="1"/>
  <c r="AH30" i="1"/>
  <c r="CV30" i="1" s="1"/>
  <c r="U30" i="1" s="1"/>
  <c r="AI30" i="1"/>
  <c r="AJ30" i="1"/>
  <c r="CS30" i="1"/>
  <c r="R30" i="1" s="1"/>
  <c r="CU30" i="1"/>
  <c r="T30" i="1" s="1"/>
  <c r="CW30" i="1"/>
  <c r="V30" i="1" s="1"/>
  <c r="CX30" i="1"/>
  <c r="W30" i="1" s="1"/>
  <c r="FR30" i="1"/>
  <c r="GL30" i="1"/>
  <c r="GO30" i="1"/>
  <c r="GP30" i="1"/>
  <c r="GV30" i="1"/>
  <c r="GX30" i="1" s="1"/>
  <c r="C31" i="1"/>
  <c r="D31" i="1"/>
  <c r="I31" i="1"/>
  <c r="AC31" i="1"/>
  <c r="CQ31" i="1" s="1"/>
  <c r="AD31" i="1"/>
  <c r="AE31" i="1"/>
  <c r="AF31" i="1"/>
  <c r="AG31" i="1"/>
  <c r="CU31" i="1" s="1"/>
  <c r="AH31" i="1"/>
  <c r="CV31" i="1" s="1"/>
  <c r="AI31" i="1"/>
  <c r="AJ31" i="1"/>
  <c r="CX31" i="1" s="1"/>
  <c r="W31" i="1" s="1"/>
  <c r="CS31" i="1"/>
  <c r="CW31" i="1"/>
  <c r="V31" i="1" s="1"/>
  <c r="FR31" i="1"/>
  <c r="GL31" i="1"/>
  <c r="GO31" i="1"/>
  <c r="GP31" i="1"/>
  <c r="GV31" i="1"/>
  <c r="C32" i="1"/>
  <c r="D32" i="1"/>
  <c r="I32" i="1"/>
  <c r="AC32" i="1"/>
  <c r="AE32" i="1"/>
  <c r="AF32" i="1"/>
  <c r="AG32" i="1"/>
  <c r="AH32" i="1"/>
  <c r="CV32" i="1" s="1"/>
  <c r="AI32" i="1"/>
  <c r="CW32" i="1" s="1"/>
  <c r="V32" i="1" s="1"/>
  <c r="AJ32" i="1"/>
  <c r="CQ32" i="1"/>
  <c r="P32" i="1" s="1"/>
  <c r="CT32" i="1"/>
  <c r="CU32" i="1"/>
  <c r="T32" i="1" s="1"/>
  <c r="CX32" i="1"/>
  <c r="FR32" i="1"/>
  <c r="GL32" i="1"/>
  <c r="GO32" i="1"/>
  <c r="GP32" i="1"/>
  <c r="GV32" i="1"/>
  <c r="GX32" i="1" s="1"/>
  <c r="C33" i="1"/>
  <c r="D33" i="1"/>
  <c r="I33" i="1"/>
  <c r="AC33" i="1"/>
  <c r="H73" i="5" s="1"/>
  <c r="AE33" i="1"/>
  <c r="H72" i="5" s="1"/>
  <c r="R72" i="5" s="1"/>
  <c r="AF33" i="1"/>
  <c r="AG33" i="1"/>
  <c r="AH33" i="1"/>
  <c r="AI33" i="1"/>
  <c r="CW33" i="1" s="1"/>
  <c r="V33" i="1" s="1"/>
  <c r="AJ33" i="1"/>
  <c r="CX33" i="1" s="1"/>
  <c r="W33" i="1" s="1"/>
  <c r="CQ33" i="1"/>
  <c r="P33" i="1" s="1"/>
  <c r="K73" i="5" s="1"/>
  <c r="CU33" i="1"/>
  <c r="T33" i="1" s="1"/>
  <c r="CV33" i="1"/>
  <c r="U33" i="1" s="1"/>
  <c r="FR33" i="1"/>
  <c r="GL33" i="1"/>
  <c r="GO33" i="1"/>
  <c r="GP33" i="1"/>
  <c r="GV33" i="1"/>
  <c r="GX33" i="1" s="1"/>
  <c r="I34" i="1"/>
  <c r="E77" i="5" s="1"/>
  <c r="AC34" i="1"/>
  <c r="AE34" i="1"/>
  <c r="CS34" i="1" s="1"/>
  <c r="R34" i="1" s="1"/>
  <c r="AF34" i="1"/>
  <c r="AG34" i="1"/>
  <c r="CU34" i="1" s="1"/>
  <c r="T34" i="1" s="1"/>
  <c r="AH34" i="1"/>
  <c r="CV34" i="1" s="1"/>
  <c r="U34" i="1" s="1"/>
  <c r="AI34" i="1"/>
  <c r="CW34" i="1" s="1"/>
  <c r="V34" i="1" s="1"/>
  <c r="AJ34" i="1"/>
  <c r="CT34" i="1"/>
  <c r="S34" i="1" s="1"/>
  <c r="CZ34" i="1" s="1"/>
  <c r="Y34" i="1" s="1"/>
  <c r="V77" i="5" s="1"/>
  <c r="CX34" i="1"/>
  <c r="W34" i="1" s="1"/>
  <c r="FR34" i="1"/>
  <c r="GK34" i="1"/>
  <c r="GL34" i="1"/>
  <c r="GO34" i="1"/>
  <c r="GP34" i="1"/>
  <c r="GV34" i="1"/>
  <c r="GX34" i="1" s="1"/>
  <c r="I35" i="1"/>
  <c r="E78" i="5" s="1"/>
  <c r="AC35" i="1"/>
  <c r="AE35" i="1"/>
  <c r="AD35" i="1" s="1"/>
  <c r="CR35" i="1" s="1"/>
  <c r="Q35" i="1" s="1"/>
  <c r="AF35" i="1"/>
  <c r="AG35" i="1"/>
  <c r="CU35" i="1" s="1"/>
  <c r="T35" i="1" s="1"/>
  <c r="AH35" i="1"/>
  <c r="CV35" i="1" s="1"/>
  <c r="AI35" i="1"/>
  <c r="AJ35" i="1"/>
  <c r="CS35" i="1"/>
  <c r="R35" i="1" s="1"/>
  <c r="GK35" i="1" s="1"/>
  <c r="CT35" i="1"/>
  <c r="CW35" i="1"/>
  <c r="V35" i="1" s="1"/>
  <c r="CX35" i="1"/>
  <c r="FR35" i="1"/>
  <c r="GL35" i="1"/>
  <c r="GO35" i="1"/>
  <c r="GP35" i="1"/>
  <c r="GV35" i="1"/>
  <c r="GX35" i="1" s="1"/>
  <c r="C36" i="1"/>
  <c r="D36" i="1"/>
  <c r="I36" i="1"/>
  <c r="AC36" i="1"/>
  <c r="AE36" i="1"/>
  <c r="AD36" i="1" s="1"/>
  <c r="AF36" i="1"/>
  <c r="AG36" i="1"/>
  <c r="AH36" i="1"/>
  <c r="CV36" i="1" s="1"/>
  <c r="U36" i="1" s="1"/>
  <c r="AI36" i="1"/>
  <c r="CW36" i="1" s="1"/>
  <c r="V36" i="1" s="1"/>
  <c r="AJ36" i="1"/>
  <c r="CQ36" i="1"/>
  <c r="P36" i="1" s="1"/>
  <c r="CT36" i="1"/>
  <c r="S36" i="1" s="1"/>
  <c r="K82" i="5" s="1"/>
  <c r="CU36" i="1"/>
  <c r="T36" i="1" s="1"/>
  <c r="CX36" i="1"/>
  <c r="W36" i="1" s="1"/>
  <c r="FR36" i="1"/>
  <c r="GL36" i="1"/>
  <c r="GO36" i="1"/>
  <c r="GP36" i="1"/>
  <c r="GV36" i="1"/>
  <c r="GX36" i="1" s="1"/>
  <c r="I37" i="1"/>
  <c r="E89" i="5" s="1"/>
  <c r="AC37" i="1"/>
  <c r="AE37" i="1"/>
  <c r="AD37" i="1" s="1"/>
  <c r="CR37" i="1" s="1"/>
  <c r="Q37" i="1" s="1"/>
  <c r="AF37" i="1"/>
  <c r="AG37" i="1"/>
  <c r="CU37" i="1" s="1"/>
  <c r="T37" i="1" s="1"/>
  <c r="AH37" i="1"/>
  <c r="AI37" i="1"/>
  <c r="AJ37" i="1"/>
  <c r="CX37" i="1" s="1"/>
  <c r="CS37" i="1"/>
  <c r="R37" i="1" s="1"/>
  <c r="GK37" i="1" s="1"/>
  <c r="CV37" i="1"/>
  <c r="CW37" i="1"/>
  <c r="V37" i="1" s="1"/>
  <c r="FR37" i="1"/>
  <c r="GL37" i="1"/>
  <c r="GO37" i="1"/>
  <c r="GP37" i="1"/>
  <c r="GV37" i="1"/>
  <c r="GX37" i="1"/>
  <c r="I38" i="1"/>
  <c r="AC38" i="1"/>
  <c r="CQ38" i="1" s="1"/>
  <c r="P38" i="1" s="1"/>
  <c r="AE38" i="1"/>
  <c r="AD38" i="1" s="1"/>
  <c r="AF38" i="1"/>
  <c r="AG38" i="1"/>
  <c r="CU38" i="1" s="1"/>
  <c r="T38" i="1" s="1"/>
  <c r="AH38" i="1"/>
  <c r="AI38" i="1"/>
  <c r="CW38" i="1" s="1"/>
  <c r="V38" i="1" s="1"/>
  <c r="AJ38" i="1"/>
  <c r="CX38" i="1" s="1"/>
  <c r="W38" i="1" s="1"/>
  <c r="CR38" i="1"/>
  <c r="Q38" i="1" s="1"/>
  <c r="CV38" i="1"/>
  <c r="U38" i="1" s="1"/>
  <c r="FR38" i="1"/>
  <c r="GL38" i="1"/>
  <c r="GO38" i="1"/>
  <c r="GP38" i="1"/>
  <c r="GV38" i="1"/>
  <c r="GX38" i="1" s="1"/>
  <c r="C39" i="1"/>
  <c r="D39" i="1"/>
  <c r="I39" i="1"/>
  <c r="AC39" i="1"/>
  <c r="AE39" i="1"/>
  <c r="AF39" i="1"/>
  <c r="AG39" i="1"/>
  <c r="CU39" i="1" s="1"/>
  <c r="AH39" i="1"/>
  <c r="AI39" i="1"/>
  <c r="CW39" i="1" s="1"/>
  <c r="V39" i="1" s="1"/>
  <c r="AJ39" i="1"/>
  <c r="CX39" i="1" s="1"/>
  <c r="W39" i="1" s="1"/>
  <c r="CS39" i="1"/>
  <c r="CT39" i="1"/>
  <c r="CV39" i="1"/>
  <c r="FR39" i="1"/>
  <c r="GL39" i="1"/>
  <c r="GO39" i="1"/>
  <c r="GP39" i="1"/>
  <c r="GV39" i="1"/>
  <c r="C40" i="1"/>
  <c r="D40" i="1"/>
  <c r="I40" i="1"/>
  <c r="AC40" i="1"/>
  <c r="AE40" i="1"/>
  <c r="H105" i="5" s="1"/>
  <c r="R105" i="5" s="1"/>
  <c r="AF40" i="1"/>
  <c r="AG40" i="1"/>
  <c r="AH40" i="1"/>
  <c r="AI40" i="1"/>
  <c r="AJ40" i="1"/>
  <c r="CS40" i="1"/>
  <c r="R40" i="1" s="1"/>
  <c r="K105" i="5" s="1"/>
  <c r="CT40" i="1"/>
  <c r="S40" i="1" s="1"/>
  <c r="K103" i="5" s="1"/>
  <c r="CU40" i="1"/>
  <c r="T40" i="1" s="1"/>
  <c r="CV40" i="1"/>
  <c r="U40" i="1" s="1"/>
  <c r="CW40" i="1"/>
  <c r="V40" i="1" s="1"/>
  <c r="CX40" i="1"/>
  <c r="W40" i="1" s="1"/>
  <c r="FR40" i="1"/>
  <c r="GL40" i="1"/>
  <c r="GO40" i="1"/>
  <c r="GP40" i="1"/>
  <c r="GV40" i="1"/>
  <c r="GX40" i="1" s="1"/>
  <c r="I41" i="1"/>
  <c r="E110" i="5" s="1"/>
  <c r="AC41" i="1"/>
  <c r="AE41" i="1"/>
  <c r="AD41" i="1" s="1"/>
  <c r="CR41" i="1" s="1"/>
  <c r="Q41" i="1" s="1"/>
  <c r="AF41" i="1"/>
  <c r="AG41" i="1"/>
  <c r="CU41" i="1" s="1"/>
  <c r="AH41" i="1"/>
  <c r="CV41" i="1" s="1"/>
  <c r="U41" i="1" s="1"/>
  <c r="AI41" i="1"/>
  <c r="CW41" i="1" s="1"/>
  <c r="V41" i="1" s="1"/>
  <c r="AJ41" i="1"/>
  <c r="CX41" i="1" s="1"/>
  <c r="CS41" i="1"/>
  <c r="R41" i="1" s="1"/>
  <c r="GK41" i="1" s="1"/>
  <c r="FR41" i="1"/>
  <c r="GL41" i="1"/>
  <c r="GO41" i="1"/>
  <c r="GP41" i="1"/>
  <c r="GV41" i="1"/>
  <c r="GX41" i="1" s="1"/>
  <c r="I42" i="1"/>
  <c r="E111" i="5" s="1"/>
  <c r="AC42" i="1"/>
  <c r="AE42" i="1"/>
  <c r="AF42" i="1"/>
  <c r="AG42" i="1"/>
  <c r="CU42" i="1" s="1"/>
  <c r="T42" i="1" s="1"/>
  <c r="AH42" i="1"/>
  <c r="CV42" i="1" s="1"/>
  <c r="AI42" i="1"/>
  <c r="CW42" i="1" s="1"/>
  <c r="V42" i="1" s="1"/>
  <c r="AJ42" i="1"/>
  <c r="CX42" i="1" s="1"/>
  <c r="FR42" i="1"/>
  <c r="GL42" i="1"/>
  <c r="GO42" i="1"/>
  <c r="GP42" i="1"/>
  <c r="GV42" i="1"/>
  <c r="GX42" i="1" s="1"/>
  <c r="C43" i="1"/>
  <c r="D43" i="1"/>
  <c r="I43" i="1"/>
  <c r="AC43" i="1"/>
  <c r="AE43" i="1"/>
  <c r="H117" i="5" s="1"/>
  <c r="R117" i="5" s="1"/>
  <c r="AF43" i="1"/>
  <c r="AG43" i="1"/>
  <c r="CU43" i="1" s="1"/>
  <c r="T43" i="1" s="1"/>
  <c r="AH43" i="1"/>
  <c r="CV43" i="1" s="1"/>
  <c r="U43" i="1" s="1"/>
  <c r="AI43" i="1"/>
  <c r="CW43" i="1" s="1"/>
  <c r="V43" i="1" s="1"/>
  <c r="AJ43" i="1"/>
  <c r="CX43" i="1" s="1"/>
  <c r="W43" i="1" s="1"/>
  <c r="CS43" i="1"/>
  <c r="R43" i="1" s="1"/>
  <c r="FR43" i="1"/>
  <c r="GL43" i="1"/>
  <c r="GO43" i="1"/>
  <c r="GP43" i="1"/>
  <c r="GV43" i="1"/>
  <c r="GX43" i="1" s="1"/>
  <c r="AC44" i="1"/>
  <c r="AE44" i="1"/>
  <c r="AF44" i="1"/>
  <c r="AG44" i="1"/>
  <c r="CU44" i="1" s="1"/>
  <c r="AH44" i="1"/>
  <c r="CV44" i="1" s="1"/>
  <c r="AI44" i="1"/>
  <c r="CW44" i="1" s="1"/>
  <c r="AJ44" i="1"/>
  <c r="CX44" i="1" s="1"/>
  <c r="FR44" i="1"/>
  <c r="GL44" i="1"/>
  <c r="GO44" i="1"/>
  <c r="GP44" i="1"/>
  <c r="GV44" i="1"/>
  <c r="AC45" i="1"/>
  <c r="AE45" i="1"/>
  <c r="CS45" i="1" s="1"/>
  <c r="AF45" i="1"/>
  <c r="AG45" i="1"/>
  <c r="AH45" i="1"/>
  <c r="CV45" i="1" s="1"/>
  <c r="AI45" i="1"/>
  <c r="CW45" i="1" s="1"/>
  <c r="AJ45" i="1"/>
  <c r="CX45" i="1" s="1"/>
  <c r="CQ45" i="1"/>
  <c r="CU45" i="1"/>
  <c r="FR45" i="1"/>
  <c r="GL45" i="1"/>
  <c r="GO45" i="1"/>
  <c r="GP45" i="1"/>
  <c r="GV45" i="1"/>
  <c r="C46" i="1"/>
  <c r="D46" i="1"/>
  <c r="I46" i="1"/>
  <c r="AC46" i="1"/>
  <c r="AE46" i="1"/>
  <c r="AF46" i="1"/>
  <c r="AG46" i="1"/>
  <c r="CU46" i="1" s="1"/>
  <c r="AH46" i="1"/>
  <c r="CV46" i="1" s="1"/>
  <c r="U46" i="1" s="1"/>
  <c r="AI46" i="1"/>
  <c r="CW46" i="1" s="1"/>
  <c r="AJ46" i="1"/>
  <c r="CX46" i="1" s="1"/>
  <c r="W46" i="1" s="1"/>
  <c r="FR46" i="1"/>
  <c r="GL46" i="1"/>
  <c r="GO46" i="1"/>
  <c r="GP46" i="1"/>
  <c r="GV46" i="1"/>
  <c r="GX46" i="1" s="1"/>
  <c r="AC47" i="1"/>
  <c r="AE47" i="1"/>
  <c r="CS47" i="1" s="1"/>
  <c r="AF47" i="1"/>
  <c r="AG47" i="1"/>
  <c r="AH47" i="1"/>
  <c r="CV47" i="1" s="1"/>
  <c r="AI47" i="1"/>
  <c r="CW47" i="1" s="1"/>
  <c r="AJ47" i="1"/>
  <c r="CX47" i="1" s="1"/>
  <c r="CQ47" i="1"/>
  <c r="CU47" i="1"/>
  <c r="FR47" i="1"/>
  <c r="GL47" i="1"/>
  <c r="GO47" i="1"/>
  <c r="GP47" i="1"/>
  <c r="GV47" i="1"/>
  <c r="AC48" i="1"/>
  <c r="AE48" i="1"/>
  <c r="CS48" i="1" s="1"/>
  <c r="AF48" i="1"/>
  <c r="AG48" i="1"/>
  <c r="CU48" i="1" s="1"/>
  <c r="AH48" i="1"/>
  <c r="CV48" i="1" s="1"/>
  <c r="AI48" i="1"/>
  <c r="CW48" i="1" s="1"/>
  <c r="AJ48" i="1"/>
  <c r="CT48" i="1"/>
  <c r="CX48" i="1"/>
  <c r="FR48" i="1"/>
  <c r="GL48" i="1"/>
  <c r="GO48" i="1"/>
  <c r="GP48" i="1"/>
  <c r="GV48" i="1"/>
  <c r="C49" i="1"/>
  <c r="D49" i="1"/>
  <c r="I49" i="1"/>
  <c r="AC49" i="1"/>
  <c r="H142" i="5" s="1"/>
  <c r="AE49" i="1"/>
  <c r="AD49" i="1" s="1"/>
  <c r="H140" i="5" s="1"/>
  <c r="AF49" i="1"/>
  <c r="AG49" i="1"/>
  <c r="AH49" i="1"/>
  <c r="CV49" i="1" s="1"/>
  <c r="U49" i="1" s="1"/>
  <c r="AI49" i="1"/>
  <c r="CW49" i="1" s="1"/>
  <c r="V49" i="1" s="1"/>
  <c r="AJ49" i="1"/>
  <c r="CX49" i="1" s="1"/>
  <c r="W49" i="1" s="1"/>
  <c r="CQ49" i="1"/>
  <c r="P49" i="1" s="1"/>
  <c r="K142" i="5" s="1"/>
  <c r="CU49" i="1"/>
  <c r="T49" i="1" s="1"/>
  <c r="FR49" i="1"/>
  <c r="GL49" i="1"/>
  <c r="GO49" i="1"/>
  <c r="GP49" i="1"/>
  <c r="GV49" i="1"/>
  <c r="GX49" i="1" s="1"/>
  <c r="I50" i="1"/>
  <c r="E146" i="5" s="1"/>
  <c r="AC50" i="1"/>
  <c r="AE50" i="1"/>
  <c r="CS50" i="1" s="1"/>
  <c r="R50" i="1" s="1"/>
  <c r="GK50" i="1" s="1"/>
  <c r="AF50" i="1"/>
  <c r="AG50" i="1"/>
  <c r="CU50" i="1" s="1"/>
  <c r="T50" i="1" s="1"/>
  <c r="AH50" i="1"/>
  <c r="CV50" i="1" s="1"/>
  <c r="AI50" i="1"/>
  <c r="CW50" i="1" s="1"/>
  <c r="V50" i="1" s="1"/>
  <c r="AJ50" i="1"/>
  <c r="CT50" i="1"/>
  <c r="S50" i="1" s="1"/>
  <c r="CX50" i="1"/>
  <c r="W50" i="1" s="1"/>
  <c r="FR50" i="1"/>
  <c r="GL50" i="1"/>
  <c r="GO50" i="1"/>
  <c r="GP50" i="1"/>
  <c r="GV50" i="1"/>
  <c r="I51" i="1"/>
  <c r="AC51" i="1"/>
  <c r="AE51" i="1"/>
  <c r="AD51" i="1" s="1"/>
  <c r="CR51" i="1" s="1"/>
  <c r="AF51" i="1"/>
  <c r="AG51" i="1"/>
  <c r="CU51" i="1" s="1"/>
  <c r="AH51" i="1"/>
  <c r="CV51" i="1" s="1"/>
  <c r="AI51" i="1"/>
  <c r="CW51" i="1" s="1"/>
  <c r="AJ51" i="1"/>
  <c r="CX51" i="1" s="1"/>
  <c r="CS51" i="1"/>
  <c r="FR51" i="1"/>
  <c r="GL51" i="1"/>
  <c r="GO51" i="1"/>
  <c r="GP51" i="1"/>
  <c r="GV51" i="1"/>
  <c r="GX51" i="1" s="1"/>
  <c r="C52" i="1"/>
  <c r="D52" i="1"/>
  <c r="I52" i="1"/>
  <c r="AC52" i="1"/>
  <c r="H154" i="5" s="1"/>
  <c r="AE52" i="1"/>
  <c r="AF52" i="1"/>
  <c r="AG52" i="1"/>
  <c r="CU52" i="1" s="1"/>
  <c r="T52" i="1" s="1"/>
  <c r="AH52" i="1"/>
  <c r="CV52" i="1" s="1"/>
  <c r="U52" i="1" s="1"/>
  <c r="AI52" i="1"/>
  <c r="CW52" i="1" s="1"/>
  <c r="V52" i="1" s="1"/>
  <c r="AJ52" i="1"/>
  <c r="CT52" i="1"/>
  <c r="S52" i="1" s="1"/>
  <c r="K151" i="5" s="1"/>
  <c r="CX52" i="1"/>
  <c r="W52" i="1" s="1"/>
  <c r="FR52" i="1"/>
  <c r="GL52" i="1"/>
  <c r="GO52" i="1"/>
  <c r="GP52" i="1"/>
  <c r="GV52" i="1"/>
  <c r="GX52" i="1" s="1"/>
  <c r="I53" i="1"/>
  <c r="AC53" i="1"/>
  <c r="AE53" i="1"/>
  <c r="AD53" i="1" s="1"/>
  <c r="CR53" i="1" s="1"/>
  <c r="AF53" i="1"/>
  <c r="AG53" i="1"/>
  <c r="CU53" i="1" s="1"/>
  <c r="AH53" i="1"/>
  <c r="CV53" i="1" s="1"/>
  <c r="AI53" i="1"/>
  <c r="AJ53" i="1"/>
  <c r="CX53" i="1" s="1"/>
  <c r="W53" i="1" s="1"/>
  <c r="CS53" i="1"/>
  <c r="CW53" i="1"/>
  <c r="FR53" i="1"/>
  <c r="GL53" i="1"/>
  <c r="GO53" i="1"/>
  <c r="GP53" i="1"/>
  <c r="GV53" i="1"/>
  <c r="GX53" i="1" s="1"/>
  <c r="I54" i="1"/>
  <c r="E159" i="5" s="1"/>
  <c r="AC54" i="1"/>
  <c r="AE54" i="1"/>
  <c r="AF54" i="1"/>
  <c r="AG54" i="1"/>
  <c r="CU54" i="1" s="1"/>
  <c r="T54" i="1" s="1"/>
  <c r="AH54" i="1"/>
  <c r="AI54" i="1"/>
  <c r="CW54" i="1" s="1"/>
  <c r="V54" i="1" s="1"/>
  <c r="AJ54" i="1"/>
  <c r="CX54" i="1" s="1"/>
  <c r="W54" i="1" s="1"/>
  <c r="CV54" i="1"/>
  <c r="U54" i="1" s="1"/>
  <c r="FR54" i="1"/>
  <c r="GL54" i="1"/>
  <c r="GO54" i="1"/>
  <c r="GP54" i="1"/>
  <c r="GV54" i="1"/>
  <c r="GX54" i="1" s="1"/>
  <c r="C55" i="1"/>
  <c r="D55" i="1"/>
  <c r="I55" i="1"/>
  <c r="AC55" i="1"/>
  <c r="AE55" i="1"/>
  <c r="AF55" i="1"/>
  <c r="AG55" i="1"/>
  <c r="CU55" i="1" s="1"/>
  <c r="AH55" i="1"/>
  <c r="AI55" i="1"/>
  <c r="AJ55" i="1"/>
  <c r="CX55" i="1" s="1"/>
  <c r="CS55" i="1"/>
  <c r="R55" i="1" s="1"/>
  <c r="CV55" i="1"/>
  <c r="U55" i="1" s="1"/>
  <c r="CW55" i="1"/>
  <c r="FR55" i="1"/>
  <c r="GL55" i="1"/>
  <c r="GO55" i="1"/>
  <c r="GP55" i="1"/>
  <c r="GV55" i="1"/>
  <c r="GX55" i="1" s="1"/>
  <c r="AC56" i="1"/>
  <c r="AE56" i="1"/>
  <c r="AF56" i="1"/>
  <c r="AG56" i="1"/>
  <c r="AH56" i="1"/>
  <c r="CV56" i="1" s="1"/>
  <c r="AI56" i="1"/>
  <c r="CW56" i="1" s="1"/>
  <c r="AJ56" i="1"/>
  <c r="CX56" i="1" s="1"/>
  <c r="CU56" i="1"/>
  <c r="FR56" i="1"/>
  <c r="GL56" i="1"/>
  <c r="GO56" i="1"/>
  <c r="GP56" i="1"/>
  <c r="GV56" i="1"/>
  <c r="AC57" i="1"/>
  <c r="AE57" i="1"/>
  <c r="CS57" i="1" s="1"/>
  <c r="AF57" i="1"/>
  <c r="AG57" i="1"/>
  <c r="AH57" i="1"/>
  <c r="CV57" i="1" s="1"/>
  <c r="AI57" i="1"/>
  <c r="CW57" i="1" s="1"/>
  <c r="AJ57" i="1"/>
  <c r="CQ57" i="1"/>
  <c r="CT57" i="1"/>
  <c r="CU57" i="1"/>
  <c r="CX57" i="1"/>
  <c r="FR57" i="1"/>
  <c r="GL57" i="1"/>
  <c r="GO57" i="1"/>
  <c r="GP57" i="1"/>
  <c r="GV57" i="1"/>
  <c r="AC58" i="1"/>
  <c r="AE58" i="1"/>
  <c r="AD58" i="1" s="1"/>
  <c r="CR58" i="1" s="1"/>
  <c r="AF58" i="1"/>
  <c r="AG58" i="1"/>
  <c r="CU58" i="1" s="1"/>
  <c r="AH58" i="1"/>
  <c r="CV58" i="1" s="1"/>
  <c r="AI58" i="1"/>
  <c r="AJ58" i="1"/>
  <c r="CS58" i="1"/>
  <c r="CT58" i="1"/>
  <c r="CW58" i="1"/>
  <c r="CX58" i="1"/>
  <c r="FR58" i="1"/>
  <c r="GL58" i="1"/>
  <c r="GO58" i="1"/>
  <c r="GP58" i="1"/>
  <c r="GV58" i="1"/>
  <c r="C59" i="1"/>
  <c r="D59" i="1"/>
  <c r="I59" i="1"/>
  <c r="AC59" i="1"/>
  <c r="H179" i="5" s="1"/>
  <c r="AE59" i="1"/>
  <c r="AF59" i="1"/>
  <c r="AG59" i="1"/>
  <c r="CU59" i="1" s="1"/>
  <c r="T59" i="1" s="1"/>
  <c r="AH59" i="1"/>
  <c r="CV59" i="1" s="1"/>
  <c r="U59" i="1" s="1"/>
  <c r="AI59" i="1"/>
  <c r="CW59" i="1" s="1"/>
  <c r="V59" i="1" s="1"/>
  <c r="AJ59" i="1"/>
  <c r="CQ59" i="1"/>
  <c r="P59" i="1" s="1"/>
  <c r="K179" i="5" s="1"/>
  <c r="CT59" i="1"/>
  <c r="S59" i="1" s="1"/>
  <c r="CX59" i="1"/>
  <c r="W59" i="1" s="1"/>
  <c r="FR59" i="1"/>
  <c r="GL59" i="1"/>
  <c r="GO59" i="1"/>
  <c r="GP59" i="1"/>
  <c r="GV59" i="1"/>
  <c r="GX59" i="1" s="1"/>
  <c r="I60" i="1"/>
  <c r="E183" i="5" s="1"/>
  <c r="AC60" i="1"/>
  <c r="AE60" i="1"/>
  <c r="AF60" i="1"/>
  <c r="AG60" i="1"/>
  <c r="AH60" i="1"/>
  <c r="AI60" i="1"/>
  <c r="CW60" i="1" s="1"/>
  <c r="V60" i="1" s="1"/>
  <c r="AJ60" i="1"/>
  <c r="CX60" i="1" s="1"/>
  <c r="W60" i="1" s="1"/>
  <c r="CT60" i="1"/>
  <c r="S60" i="1" s="1"/>
  <c r="CU60" i="1"/>
  <c r="T60" i="1" s="1"/>
  <c r="CV60" i="1"/>
  <c r="U60" i="1" s="1"/>
  <c r="FR60" i="1"/>
  <c r="GL60" i="1"/>
  <c r="GO60" i="1"/>
  <c r="GP60" i="1"/>
  <c r="GV60" i="1"/>
  <c r="GX60" i="1" s="1"/>
  <c r="I61" i="1"/>
  <c r="E184" i="5" s="1"/>
  <c r="AC61" i="1"/>
  <c r="AE61" i="1"/>
  <c r="AD61" i="1" s="1"/>
  <c r="CR61" i="1" s="1"/>
  <c r="Q61" i="1" s="1"/>
  <c r="AF61" i="1"/>
  <c r="AG61" i="1"/>
  <c r="AH61" i="1"/>
  <c r="CV61" i="1" s="1"/>
  <c r="U61" i="1" s="1"/>
  <c r="AI61" i="1"/>
  <c r="AJ61" i="1"/>
  <c r="CQ61" i="1"/>
  <c r="P61" i="1" s="1"/>
  <c r="CS61" i="1"/>
  <c r="R61" i="1" s="1"/>
  <c r="CU61" i="1"/>
  <c r="T61" i="1" s="1"/>
  <c r="CW61" i="1"/>
  <c r="V61" i="1" s="1"/>
  <c r="CX61" i="1"/>
  <c r="W61" i="1" s="1"/>
  <c r="FR61" i="1"/>
  <c r="GK61" i="1"/>
  <c r="GL61" i="1"/>
  <c r="GO61" i="1"/>
  <c r="GP61" i="1"/>
  <c r="GV61" i="1"/>
  <c r="GX61" i="1" s="1"/>
  <c r="C62" i="1"/>
  <c r="D62" i="1"/>
  <c r="I62" i="1"/>
  <c r="AC62" i="1"/>
  <c r="H191" i="5" s="1"/>
  <c r="AE62" i="1"/>
  <c r="AF62" i="1"/>
  <c r="AG62" i="1"/>
  <c r="CU62" i="1" s="1"/>
  <c r="T62" i="1" s="1"/>
  <c r="AH62" i="1"/>
  <c r="CV62" i="1" s="1"/>
  <c r="U62" i="1" s="1"/>
  <c r="AI62" i="1"/>
  <c r="CW62" i="1" s="1"/>
  <c r="V62" i="1" s="1"/>
  <c r="AJ62" i="1"/>
  <c r="CQ62" i="1"/>
  <c r="P62" i="1" s="1"/>
  <c r="K191" i="5" s="1"/>
  <c r="CT62" i="1"/>
  <c r="S62" i="1" s="1"/>
  <c r="K188" i="5" s="1"/>
  <c r="CX62" i="1"/>
  <c r="W62" i="1" s="1"/>
  <c r="FR62" i="1"/>
  <c r="GL62" i="1"/>
  <c r="GO62" i="1"/>
  <c r="GP62" i="1"/>
  <c r="GV62" i="1"/>
  <c r="C63" i="1"/>
  <c r="D63" i="1"/>
  <c r="I63" i="1"/>
  <c r="AC63" i="1"/>
  <c r="AE63" i="1"/>
  <c r="AF63" i="1"/>
  <c r="AG63" i="1"/>
  <c r="CU63" i="1" s="1"/>
  <c r="T63" i="1" s="1"/>
  <c r="AH63" i="1"/>
  <c r="AI63" i="1"/>
  <c r="CW63" i="1" s="1"/>
  <c r="V63" i="1" s="1"/>
  <c r="AJ63" i="1"/>
  <c r="CX63" i="1" s="1"/>
  <c r="CQ63" i="1"/>
  <c r="CS63" i="1"/>
  <c r="R63" i="1" s="1"/>
  <c r="CV63" i="1"/>
  <c r="U63" i="1" s="1"/>
  <c r="FR63" i="1"/>
  <c r="GL63" i="1"/>
  <c r="GO63" i="1"/>
  <c r="GP63" i="1"/>
  <c r="GV63" i="1"/>
  <c r="GX63" i="1" s="1"/>
  <c r="AC64" i="1"/>
  <c r="AE64" i="1"/>
  <c r="AF64" i="1"/>
  <c r="AG64" i="1"/>
  <c r="AH64" i="1"/>
  <c r="AI64" i="1"/>
  <c r="CW64" i="1" s="1"/>
  <c r="AJ64" i="1"/>
  <c r="CQ64" i="1"/>
  <c r="CT64" i="1"/>
  <c r="CU64" i="1"/>
  <c r="CV64" i="1"/>
  <c r="CX64" i="1"/>
  <c r="FR64" i="1"/>
  <c r="GL64" i="1"/>
  <c r="GO64" i="1"/>
  <c r="GP64" i="1"/>
  <c r="GV64" i="1"/>
  <c r="AC65" i="1"/>
  <c r="AE65" i="1"/>
  <c r="AD65" i="1" s="1"/>
  <c r="CR65" i="1" s="1"/>
  <c r="AF65" i="1"/>
  <c r="AG65" i="1"/>
  <c r="AH65" i="1"/>
  <c r="CV65" i="1" s="1"/>
  <c r="AI65" i="1"/>
  <c r="CW65" i="1" s="1"/>
  <c r="AJ65" i="1"/>
  <c r="CS65" i="1"/>
  <c r="CT65" i="1"/>
  <c r="CU65" i="1"/>
  <c r="CX65" i="1"/>
  <c r="FR65" i="1"/>
  <c r="GL65" i="1"/>
  <c r="GO65" i="1"/>
  <c r="GP65" i="1"/>
  <c r="GV65" i="1"/>
  <c r="C66" i="1"/>
  <c r="D66" i="1"/>
  <c r="I66" i="1"/>
  <c r="AC66" i="1"/>
  <c r="AE66" i="1"/>
  <c r="AD66" i="1" s="1"/>
  <c r="AF66" i="1"/>
  <c r="AG66" i="1"/>
  <c r="AH66" i="1"/>
  <c r="CV66" i="1" s="1"/>
  <c r="U66" i="1" s="1"/>
  <c r="AI66" i="1"/>
  <c r="CW66" i="1" s="1"/>
  <c r="AJ66" i="1"/>
  <c r="CX66" i="1" s="1"/>
  <c r="W66" i="1" s="1"/>
  <c r="CQ66" i="1"/>
  <c r="P66" i="1" s="1"/>
  <c r="K213" i="5" s="1"/>
  <c r="CU66" i="1"/>
  <c r="T66" i="1" s="1"/>
  <c r="FR66" i="1"/>
  <c r="GL66" i="1"/>
  <c r="GO66" i="1"/>
  <c r="GP66" i="1"/>
  <c r="GV66" i="1"/>
  <c r="GX66" i="1" s="1"/>
  <c r="AC67" i="1"/>
  <c r="AE67" i="1"/>
  <c r="AD67" i="1" s="1"/>
  <c r="CR67" i="1" s="1"/>
  <c r="AF67" i="1"/>
  <c r="AG67" i="1"/>
  <c r="AH67" i="1"/>
  <c r="CV67" i="1" s="1"/>
  <c r="AI67" i="1"/>
  <c r="AJ67" i="1"/>
  <c r="CX67" i="1" s="1"/>
  <c r="CS67" i="1"/>
  <c r="CT67" i="1"/>
  <c r="CU67" i="1"/>
  <c r="CW67" i="1"/>
  <c r="FR67" i="1"/>
  <c r="GL67" i="1"/>
  <c r="GO67" i="1"/>
  <c r="GP67" i="1"/>
  <c r="GV67" i="1"/>
  <c r="I68" i="1"/>
  <c r="E218" i="5" s="1"/>
  <c r="AC68" i="1"/>
  <c r="AE68" i="1"/>
  <c r="AD68" i="1" s="1"/>
  <c r="CR68" i="1" s="1"/>
  <c r="AF68" i="1"/>
  <c r="AG68" i="1"/>
  <c r="CU68" i="1" s="1"/>
  <c r="AH68" i="1"/>
  <c r="AI68" i="1"/>
  <c r="AJ68" i="1"/>
  <c r="CS68" i="1"/>
  <c r="CV68" i="1"/>
  <c r="U68" i="1" s="1"/>
  <c r="CW68" i="1"/>
  <c r="CX68" i="1"/>
  <c r="W68" i="1" s="1"/>
  <c r="FR68" i="1"/>
  <c r="GL68" i="1"/>
  <c r="GO68" i="1"/>
  <c r="GP68" i="1"/>
  <c r="GV68" i="1"/>
  <c r="GX68" i="1" s="1"/>
  <c r="AC69" i="1"/>
  <c r="AE69" i="1"/>
  <c r="AD69" i="1" s="1"/>
  <c r="AF69" i="1"/>
  <c r="AG69" i="1"/>
  <c r="AH69" i="1"/>
  <c r="CV69" i="1" s="1"/>
  <c r="AI69" i="1"/>
  <c r="AJ69" i="1"/>
  <c r="CX69" i="1" s="1"/>
  <c r="CR69" i="1"/>
  <c r="CS69" i="1"/>
  <c r="CU69" i="1"/>
  <c r="CW69" i="1"/>
  <c r="FR69" i="1"/>
  <c r="GL69" i="1"/>
  <c r="GO69" i="1"/>
  <c r="GP69" i="1"/>
  <c r="GV69" i="1"/>
  <c r="I70" i="1"/>
  <c r="E220" i="5" s="1"/>
  <c r="AC70" i="1"/>
  <c r="AE70" i="1"/>
  <c r="CS70" i="1" s="1"/>
  <c r="R70" i="1" s="1"/>
  <c r="GK70" i="1" s="1"/>
  <c r="AF70" i="1"/>
  <c r="AG70" i="1"/>
  <c r="CU70" i="1" s="1"/>
  <c r="T70" i="1" s="1"/>
  <c r="AH70" i="1"/>
  <c r="CV70" i="1" s="1"/>
  <c r="AI70" i="1"/>
  <c r="CW70" i="1" s="1"/>
  <c r="V70" i="1" s="1"/>
  <c r="AJ70" i="1"/>
  <c r="CQ70" i="1"/>
  <c r="P70" i="1" s="1"/>
  <c r="CT70" i="1"/>
  <c r="S70" i="1" s="1"/>
  <c r="CX70" i="1"/>
  <c r="W70" i="1" s="1"/>
  <c r="FR70" i="1"/>
  <c r="GL70" i="1"/>
  <c r="GO70" i="1"/>
  <c r="GP70" i="1"/>
  <c r="GV70" i="1"/>
  <c r="I71" i="1"/>
  <c r="E221" i="5" s="1"/>
  <c r="AC71" i="1"/>
  <c r="AE71" i="1"/>
  <c r="AD71" i="1" s="1"/>
  <c r="CR71" i="1" s="1"/>
  <c r="Q71" i="1" s="1"/>
  <c r="AF71" i="1"/>
  <c r="AG71" i="1"/>
  <c r="AH71" i="1"/>
  <c r="CV71" i="1" s="1"/>
  <c r="U71" i="1" s="1"/>
  <c r="AI71" i="1"/>
  <c r="CW71" i="1" s="1"/>
  <c r="V71" i="1" s="1"/>
  <c r="AJ71" i="1"/>
  <c r="CX71" i="1" s="1"/>
  <c r="W71" i="1" s="1"/>
  <c r="CS71" i="1"/>
  <c r="CT71" i="1"/>
  <c r="S71" i="1" s="1"/>
  <c r="CU71" i="1"/>
  <c r="FR71" i="1"/>
  <c r="GL71" i="1"/>
  <c r="GO71" i="1"/>
  <c r="GP71" i="1"/>
  <c r="GV71" i="1"/>
  <c r="GX71" i="1" s="1"/>
  <c r="I72" i="1"/>
  <c r="E222" i="5" s="1"/>
  <c r="AC72" i="1"/>
  <c r="AE72" i="1"/>
  <c r="AD72" i="1" s="1"/>
  <c r="CR72" i="1" s="1"/>
  <c r="Q72" i="1" s="1"/>
  <c r="AF72" i="1"/>
  <c r="AG72" i="1"/>
  <c r="CU72" i="1" s="1"/>
  <c r="T72" i="1" s="1"/>
  <c r="AH72" i="1"/>
  <c r="AI72" i="1"/>
  <c r="AJ72" i="1"/>
  <c r="CS72" i="1"/>
  <c r="R72" i="1" s="1"/>
  <c r="GK72" i="1" s="1"/>
  <c r="CV72" i="1"/>
  <c r="CW72" i="1"/>
  <c r="V72" i="1" s="1"/>
  <c r="CX72" i="1"/>
  <c r="FR72" i="1"/>
  <c r="GL72" i="1"/>
  <c r="GO72" i="1"/>
  <c r="GP72" i="1"/>
  <c r="GV72" i="1"/>
  <c r="GX72" i="1" s="1"/>
  <c r="I73" i="1"/>
  <c r="E223" i="5" s="1"/>
  <c r="AC73" i="1"/>
  <c r="AE73" i="1"/>
  <c r="AD73" i="1" s="1"/>
  <c r="CR73" i="1" s="1"/>
  <c r="Q73" i="1" s="1"/>
  <c r="AF73" i="1"/>
  <c r="AG73" i="1"/>
  <c r="CU73" i="1" s="1"/>
  <c r="T73" i="1" s="1"/>
  <c r="AH73" i="1"/>
  <c r="AI73" i="1"/>
  <c r="CW73" i="1" s="1"/>
  <c r="V73" i="1" s="1"/>
  <c r="AJ73" i="1"/>
  <c r="CX73" i="1" s="1"/>
  <c r="CQ73" i="1"/>
  <c r="P73" i="1" s="1"/>
  <c r="CS73" i="1"/>
  <c r="R73" i="1" s="1"/>
  <c r="GK73" i="1" s="1"/>
  <c r="CV73" i="1"/>
  <c r="U73" i="1" s="1"/>
  <c r="FR73" i="1"/>
  <c r="GL73" i="1"/>
  <c r="GO73" i="1"/>
  <c r="GP73" i="1"/>
  <c r="GV73" i="1"/>
  <c r="GX73" i="1" s="1"/>
  <c r="AC74" i="1"/>
  <c r="AE74" i="1"/>
  <c r="CS74" i="1" s="1"/>
  <c r="AF74" i="1"/>
  <c r="AG74" i="1"/>
  <c r="CU74" i="1" s="1"/>
  <c r="AH74" i="1"/>
  <c r="CV74" i="1" s="1"/>
  <c r="AI74" i="1"/>
  <c r="CW74" i="1" s="1"/>
  <c r="AJ74" i="1"/>
  <c r="CQ74" i="1"/>
  <c r="CT74" i="1"/>
  <c r="CX74" i="1"/>
  <c r="FR74" i="1"/>
  <c r="GL74" i="1"/>
  <c r="GO74" i="1"/>
  <c r="GP74" i="1"/>
  <c r="GV74" i="1"/>
  <c r="I75" i="1"/>
  <c r="E225" i="5" s="1"/>
  <c r="AC75" i="1"/>
  <c r="AE75" i="1"/>
  <c r="AD75" i="1" s="1"/>
  <c r="CR75" i="1" s="1"/>
  <c r="Q75" i="1" s="1"/>
  <c r="AF75" i="1"/>
  <c r="AG75" i="1"/>
  <c r="AH75" i="1"/>
  <c r="CV75" i="1" s="1"/>
  <c r="AI75" i="1"/>
  <c r="CW75" i="1" s="1"/>
  <c r="V75" i="1" s="1"/>
  <c r="AJ75" i="1"/>
  <c r="CS75" i="1"/>
  <c r="R75" i="1" s="1"/>
  <c r="GK75" i="1" s="1"/>
  <c r="CT75" i="1"/>
  <c r="CU75" i="1"/>
  <c r="T75" i="1" s="1"/>
  <c r="CX75" i="1"/>
  <c r="W75" i="1" s="1"/>
  <c r="FR75" i="1"/>
  <c r="GL75" i="1"/>
  <c r="GO75" i="1"/>
  <c r="GP75" i="1"/>
  <c r="GV75" i="1"/>
  <c r="GX75" i="1" s="1"/>
  <c r="AC76" i="1"/>
  <c r="AE76" i="1"/>
  <c r="AF76" i="1"/>
  <c r="CT76" i="1" s="1"/>
  <c r="AG76" i="1"/>
  <c r="CU76" i="1" s="1"/>
  <c r="AH76" i="1"/>
  <c r="AI76" i="1"/>
  <c r="CW76" i="1" s="1"/>
  <c r="AJ76" i="1"/>
  <c r="CX76" i="1" s="1"/>
  <c r="CV76" i="1"/>
  <c r="FR76" i="1"/>
  <c r="GL76" i="1"/>
  <c r="GO76" i="1"/>
  <c r="GP76" i="1"/>
  <c r="GV76" i="1"/>
  <c r="C77" i="1"/>
  <c r="D77" i="1"/>
  <c r="I77" i="1"/>
  <c r="AC77" i="1"/>
  <c r="H233" i="5" s="1"/>
  <c r="AE77" i="1"/>
  <c r="H232" i="5" s="1"/>
  <c r="R232" i="5" s="1"/>
  <c r="AF77" i="1"/>
  <c r="AG77" i="1"/>
  <c r="AH77" i="1"/>
  <c r="CV77" i="1" s="1"/>
  <c r="AI77" i="1"/>
  <c r="CW77" i="1" s="1"/>
  <c r="V77" i="1" s="1"/>
  <c r="AJ77" i="1"/>
  <c r="CX77" i="1" s="1"/>
  <c r="CQ77" i="1"/>
  <c r="CU77" i="1"/>
  <c r="T77" i="1" s="1"/>
  <c r="FR77" i="1"/>
  <c r="GL77" i="1"/>
  <c r="GO77" i="1"/>
  <c r="GP77" i="1"/>
  <c r="GV77" i="1"/>
  <c r="GX77" i="1" s="1"/>
  <c r="AC78" i="1"/>
  <c r="AE78" i="1"/>
  <c r="AF78" i="1"/>
  <c r="AG78" i="1"/>
  <c r="CU78" i="1" s="1"/>
  <c r="AH78" i="1"/>
  <c r="CV78" i="1" s="1"/>
  <c r="AI78" i="1"/>
  <c r="CW78" i="1" s="1"/>
  <c r="AJ78" i="1"/>
  <c r="CX78" i="1" s="1"/>
  <c r="FR78" i="1"/>
  <c r="GL78" i="1"/>
  <c r="GO78" i="1"/>
  <c r="GP78" i="1"/>
  <c r="GV78" i="1"/>
  <c r="AC79" i="1"/>
  <c r="AD79" i="1"/>
  <c r="CR79" i="1" s="1"/>
  <c r="AE79" i="1"/>
  <c r="AF79" i="1"/>
  <c r="AG79" i="1"/>
  <c r="AH79" i="1"/>
  <c r="CV79" i="1" s="1"/>
  <c r="AI79" i="1"/>
  <c r="AJ79" i="1"/>
  <c r="CX79" i="1" s="1"/>
  <c r="CQ79" i="1"/>
  <c r="CS79" i="1"/>
  <c r="CU79" i="1"/>
  <c r="CW79" i="1"/>
  <c r="FR79" i="1"/>
  <c r="GL79" i="1"/>
  <c r="GO79" i="1"/>
  <c r="GP79" i="1"/>
  <c r="GV79" i="1"/>
  <c r="C80" i="1"/>
  <c r="D80" i="1"/>
  <c r="I80" i="1"/>
  <c r="AC80" i="1"/>
  <c r="AE80" i="1"/>
  <c r="AF80" i="1"/>
  <c r="AG80" i="1"/>
  <c r="CU80" i="1" s="1"/>
  <c r="AH80" i="1"/>
  <c r="AI80" i="1"/>
  <c r="CW80" i="1" s="1"/>
  <c r="AJ80" i="1"/>
  <c r="CX80" i="1" s="1"/>
  <c r="W80" i="1" s="1"/>
  <c r="CV80" i="1"/>
  <c r="U80" i="1" s="1"/>
  <c r="FR80" i="1"/>
  <c r="GL80" i="1"/>
  <c r="GO80" i="1"/>
  <c r="GP80" i="1"/>
  <c r="GV80" i="1"/>
  <c r="GX80" i="1" s="1"/>
  <c r="AC81" i="1"/>
  <c r="AE81" i="1"/>
  <c r="AD81" i="1" s="1"/>
  <c r="CR81" i="1" s="1"/>
  <c r="AF81" i="1"/>
  <c r="AG81" i="1"/>
  <c r="AH81" i="1"/>
  <c r="CV81" i="1" s="1"/>
  <c r="AI81" i="1"/>
  <c r="CW81" i="1" s="1"/>
  <c r="AJ81" i="1"/>
  <c r="CX81" i="1" s="1"/>
  <c r="CQ81" i="1"/>
  <c r="CU81" i="1"/>
  <c r="FR81" i="1"/>
  <c r="GL81" i="1"/>
  <c r="GO81" i="1"/>
  <c r="GP81" i="1"/>
  <c r="GV81" i="1"/>
  <c r="AC82" i="1"/>
  <c r="AE82" i="1"/>
  <c r="AF82" i="1"/>
  <c r="AG82" i="1"/>
  <c r="CU82" i="1" s="1"/>
  <c r="AH82" i="1"/>
  <c r="AI82" i="1"/>
  <c r="CW82" i="1" s="1"/>
  <c r="AJ82" i="1"/>
  <c r="CT82" i="1"/>
  <c r="CV82" i="1"/>
  <c r="CX82" i="1"/>
  <c r="FR82" i="1"/>
  <c r="GL82" i="1"/>
  <c r="GO82" i="1"/>
  <c r="GP82" i="1"/>
  <c r="GV82" i="1"/>
  <c r="C83" i="1"/>
  <c r="D83" i="1"/>
  <c r="AC83" i="1"/>
  <c r="H256" i="5" s="1"/>
  <c r="AE83" i="1"/>
  <c r="H255" i="5" s="1"/>
  <c r="R255" i="5" s="1"/>
  <c r="AF83" i="1"/>
  <c r="AG83" i="1"/>
  <c r="CU83" i="1" s="1"/>
  <c r="T83" i="1" s="1"/>
  <c r="AH83" i="1"/>
  <c r="AI83" i="1"/>
  <c r="CW83" i="1" s="1"/>
  <c r="V83" i="1" s="1"/>
  <c r="AJ83" i="1"/>
  <c r="CT83" i="1"/>
  <c r="S83" i="1" s="1"/>
  <c r="K253" i="5" s="1"/>
  <c r="CV83" i="1"/>
  <c r="U83" i="1" s="1"/>
  <c r="CX83" i="1"/>
  <c r="W83" i="1" s="1"/>
  <c r="FR83" i="1"/>
  <c r="GL83" i="1"/>
  <c r="GO83" i="1"/>
  <c r="GP83" i="1"/>
  <c r="GV83" i="1"/>
  <c r="GX83" i="1" s="1"/>
  <c r="I84" i="1"/>
  <c r="E260" i="5" s="1"/>
  <c r="AC84" i="1"/>
  <c r="AE84" i="1"/>
  <c r="AD84" i="1" s="1"/>
  <c r="CR84" i="1" s="1"/>
  <c r="Q84" i="1" s="1"/>
  <c r="AF84" i="1"/>
  <c r="AG84" i="1"/>
  <c r="AH84" i="1"/>
  <c r="CV84" i="1" s="1"/>
  <c r="AI84" i="1"/>
  <c r="CW84" i="1" s="1"/>
  <c r="V84" i="1" s="1"/>
  <c r="AJ84" i="1"/>
  <c r="CX84" i="1" s="1"/>
  <c r="CQ84" i="1"/>
  <c r="CU84" i="1"/>
  <c r="T84" i="1" s="1"/>
  <c r="FR84" i="1"/>
  <c r="GL84" i="1"/>
  <c r="GO84" i="1"/>
  <c r="GP84" i="1"/>
  <c r="GV84" i="1"/>
  <c r="GX84" i="1" s="1"/>
  <c r="I85" i="1"/>
  <c r="E261" i="5" s="1"/>
  <c r="AC85" i="1"/>
  <c r="AE85" i="1"/>
  <c r="AF85" i="1"/>
  <c r="AG85" i="1"/>
  <c r="CU85" i="1" s="1"/>
  <c r="AH85" i="1"/>
  <c r="CV85" i="1" s="1"/>
  <c r="U85" i="1" s="1"/>
  <c r="AI85" i="1"/>
  <c r="CW85" i="1" s="1"/>
  <c r="AJ85" i="1"/>
  <c r="CX85" i="1" s="1"/>
  <c r="W85" i="1" s="1"/>
  <c r="FR85" i="1"/>
  <c r="GL85" i="1"/>
  <c r="GO85" i="1"/>
  <c r="GP85" i="1"/>
  <c r="GV85" i="1"/>
  <c r="GX85" i="1" s="1"/>
  <c r="C86" i="1"/>
  <c r="D86" i="1"/>
  <c r="AC86" i="1"/>
  <c r="AE86" i="1"/>
  <c r="H266" i="5" s="1"/>
  <c r="R266" i="5" s="1"/>
  <c r="AF86" i="1"/>
  <c r="AG86" i="1"/>
  <c r="CU86" i="1" s="1"/>
  <c r="T86" i="1" s="1"/>
  <c r="AH86" i="1"/>
  <c r="AI86" i="1"/>
  <c r="CW86" i="1" s="1"/>
  <c r="V86" i="1" s="1"/>
  <c r="AJ86" i="1"/>
  <c r="CX86" i="1" s="1"/>
  <c r="W86" i="1" s="1"/>
  <c r="CV86" i="1"/>
  <c r="U86" i="1" s="1"/>
  <c r="FR86" i="1"/>
  <c r="GL86" i="1"/>
  <c r="GO86" i="1"/>
  <c r="GP86" i="1"/>
  <c r="GV86" i="1"/>
  <c r="GX86" i="1" s="1"/>
  <c r="I87" i="1"/>
  <c r="AC87" i="1"/>
  <c r="AE87" i="1"/>
  <c r="AD87" i="1" s="1"/>
  <c r="CR87" i="1" s="1"/>
  <c r="Q87" i="1" s="1"/>
  <c r="AF87" i="1"/>
  <c r="AG87" i="1"/>
  <c r="CU87" i="1" s="1"/>
  <c r="T87" i="1" s="1"/>
  <c r="AH87" i="1"/>
  <c r="CV87" i="1" s="1"/>
  <c r="AI87" i="1"/>
  <c r="CW87" i="1" s="1"/>
  <c r="V87" i="1" s="1"/>
  <c r="AJ87" i="1"/>
  <c r="CX87" i="1" s="1"/>
  <c r="CQ87" i="1"/>
  <c r="P87" i="1" s="1"/>
  <c r="FR87" i="1"/>
  <c r="GL87" i="1"/>
  <c r="GO87" i="1"/>
  <c r="GP87" i="1"/>
  <c r="GV87" i="1"/>
  <c r="C88" i="1"/>
  <c r="D88" i="1"/>
  <c r="I88" i="1"/>
  <c r="AC88" i="1"/>
  <c r="H277" i="5" s="1"/>
  <c r="AE88" i="1"/>
  <c r="H276" i="5" s="1"/>
  <c r="R276" i="5" s="1"/>
  <c r="AF88" i="1"/>
  <c r="AG88" i="1"/>
  <c r="CU88" i="1" s="1"/>
  <c r="T88" i="1" s="1"/>
  <c r="AH88" i="1"/>
  <c r="AI88" i="1"/>
  <c r="CW88" i="1" s="1"/>
  <c r="V88" i="1" s="1"/>
  <c r="AJ88" i="1"/>
  <c r="CT88" i="1"/>
  <c r="S88" i="1" s="1"/>
  <c r="K274" i="5" s="1"/>
  <c r="CV88" i="1"/>
  <c r="U88" i="1" s="1"/>
  <c r="CX88" i="1"/>
  <c r="W88" i="1" s="1"/>
  <c r="FR88" i="1"/>
  <c r="GL88" i="1"/>
  <c r="GO88" i="1"/>
  <c r="GP88" i="1"/>
  <c r="GV88" i="1"/>
  <c r="GX88" i="1" s="1"/>
  <c r="C89" i="1"/>
  <c r="D89" i="1"/>
  <c r="I89" i="1"/>
  <c r="AC89" i="1"/>
  <c r="AE89" i="1"/>
  <c r="AD89" i="1" s="1"/>
  <c r="AF89" i="1"/>
  <c r="AG89" i="1"/>
  <c r="AH89" i="1"/>
  <c r="CV89" i="1" s="1"/>
  <c r="AI89" i="1"/>
  <c r="CW89" i="1" s="1"/>
  <c r="V89" i="1" s="1"/>
  <c r="AJ89" i="1"/>
  <c r="CX89" i="1" s="1"/>
  <c r="CQ89" i="1"/>
  <c r="CU89" i="1"/>
  <c r="T89" i="1" s="1"/>
  <c r="FR89" i="1"/>
  <c r="GL89" i="1"/>
  <c r="GO89" i="1"/>
  <c r="GP89" i="1"/>
  <c r="GV89" i="1"/>
  <c r="GX89" i="1" s="1"/>
  <c r="AC90" i="1"/>
  <c r="AE90" i="1"/>
  <c r="AF90" i="1"/>
  <c r="AG90" i="1"/>
  <c r="CU90" i="1" s="1"/>
  <c r="AH90" i="1"/>
  <c r="CV90" i="1" s="1"/>
  <c r="AI90" i="1"/>
  <c r="CW90" i="1" s="1"/>
  <c r="AJ90" i="1"/>
  <c r="CX90" i="1" s="1"/>
  <c r="FR90" i="1"/>
  <c r="GL90" i="1"/>
  <c r="GO90" i="1"/>
  <c r="GP90" i="1"/>
  <c r="GV90" i="1"/>
  <c r="C91" i="1"/>
  <c r="D91" i="1"/>
  <c r="I91" i="1"/>
  <c r="AC91" i="1"/>
  <c r="H298" i="5" s="1"/>
  <c r="AE91" i="1"/>
  <c r="H297" i="5" s="1"/>
  <c r="R297" i="5" s="1"/>
  <c r="AF91" i="1"/>
  <c r="AG91" i="1"/>
  <c r="AH91" i="1"/>
  <c r="CV91" i="1" s="1"/>
  <c r="AI91" i="1"/>
  <c r="CW91" i="1" s="1"/>
  <c r="V91" i="1" s="1"/>
  <c r="AJ91" i="1"/>
  <c r="CX91" i="1" s="1"/>
  <c r="CQ91" i="1"/>
  <c r="CU91" i="1"/>
  <c r="FR91" i="1"/>
  <c r="GL91" i="1"/>
  <c r="GO91" i="1"/>
  <c r="GP91" i="1"/>
  <c r="GV91" i="1"/>
  <c r="GX91" i="1" s="1"/>
  <c r="C92" i="1"/>
  <c r="D92" i="1"/>
  <c r="I92" i="1"/>
  <c r="AC92" i="1"/>
  <c r="AE92" i="1"/>
  <c r="AF92" i="1"/>
  <c r="AG92" i="1"/>
  <c r="CU92" i="1" s="1"/>
  <c r="AH92" i="1"/>
  <c r="CV92" i="1" s="1"/>
  <c r="AI92" i="1"/>
  <c r="CW92" i="1" s="1"/>
  <c r="V92" i="1" s="1"/>
  <c r="AJ92" i="1"/>
  <c r="CX92" i="1" s="1"/>
  <c r="FR92" i="1"/>
  <c r="GL92" i="1"/>
  <c r="GO92" i="1"/>
  <c r="GP92" i="1"/>
  <c r="GV92" i="1"/>
  <c r="GX92" i="1" s="1"/>
  <c r="AC93" i="1"/>
  <c r="AE93" i="1"/>
  <c r="AF93" i="1"/>
  <c r="AG93" i="1"/>
  <c r="CU93" i="1" s="1"/>
  <c r="AH93" i="1"/>
  <c r="AI93" i="1"/>
  <c r="CW93" i="1" s="1"/>
  <c r="AJ93" i="1"/>
  <c r="CX93" i="1" s="1"/>
  <c r="CQ93" i="1"/>
  <c r="CV93" i="1"/>
  <c r="FR93" i="1"/>
  <c r="GL93" i="1"/>
  <c r="GO93" i="1"/>
  <c r="GP93" i="1"/>
  <c r="GV93" i="1"/>
  <c r="AC94" i="1"/>
  <c r="AD94" i="1"/>
  <c r="CR94" i="1" s="1"/>
  <c r="AE94" i="1"/>
  <c r="CS94" i="1" s="1"/>
  <c r="AF94" i="1"/>
  <c r="AG94" i="1"/>
  <c r="AH94" i="1"/>
  <c r="AI94" i="1"/>
  <c r="CW94" i="1" s="1"/>
  <c r="AJ94" i="1"/>
  <c r="CX94" i="1" s="1"/>
  <c r="CQ94" i="1"/>
  <c r="CT94" i="1"/>
  <c r="CU94" i="1"/>
  <c r="CV94" i="1"/>
  <c r="FR94" i="1"/>
  <c r="GL94" i="1"/>
  <c r="GO94" i="1"/>
  <c r="GP94" i="1"/>
  <c r="GV94" i="1"/>
  <c r="AC95" i="1"/>
  <c r="AE95" i="1"/>
  <c r="AD95" i="1" s="1"/>
  <c r="AF95" i="1"/>
  <c r="AG95" i="1"/>
  <c r="AH95" i="1"/>
  <c r="CV95" i="1" s="1"/>
  <c r="AI95" i="1"/>
  <c r="CW95" i="1" s="1"/>
  <c r="AJ95" i="1"/>
  <c r="CX95" i="1" s="1"/>
  <c r="CQ95" i="1"/>
  <c r="CU95" i="1"/>
  <c r="FR95" i="1"/>
  <c r="GL95" i="1"/>
  <c r="GO95" i="1"/>
  <c r="GP95" i="1"/>
  <c r="GV95" i="1"/>
  <c r="AC96" i="1"/>
  <c r="CQ96" i="1" s="1"/>
  <c r="AE96" i="1"/>
  <c r="AF96" i="1"/>
  <c r="AG96" i="1"/>
  <c r="AH96" i="1"/>
  <c r="CV96" i="1" s="1"/>
  <c r="AI96" i="1"/>
  <c r="CW96" i="1" s="1"/>
  <c r="AJ96" i="1"/>
  <c r="CX96" i="1" s="1"/>
  <c r="CU96" i="1"/>
  <c r="FR96" i="1"/>
  <c r="GL96" i="1"/>
  <c r="GO96" i="1"/>
  <c r="GP96" i="1"/>
  <c r="GV96" i="1"/>
  <c r="C97" i="1"/>
  <c r="D97" i="1"/>
  <c r="AC97" i="1"/>
  <c r="H321" i="5" s="1"/>
  <c r="AE97" i="1"/>
  <c r="AF97" i="1"/>
  <c r="AG97" i="1"/>
  <c r="AH97" i="1"/>
  <c r="CV97" i="1" s="1"/>
  <c r="U97" i="1" s="1"/>
  <c r="AI97" i="1"/>
  <c r="CW97" i="1" s="1"/>
  <c r="V97" i="1" s="1"/>
  <c r="AJ97" i="1"/>
  <c r="CX97" i="1" s="1"/>
  <c r="W97" i="1" s="1"/>
  <c r="CU97" i="1"/>
  <c r="T97" i="1" s="1"/>
  <c r="FR97" i="1"/>
  <c r="GL97" i="1"/>
  <c r="GO97" i="1"/>
  <c r="GP97" i="1"/>
  <c r="GV97" i="1"/>
  <c r="GX97" i="1" s="1"/>
  <c r="I98" i="1"/>
  <c r="E325" i="5" s="1"/>
  <c r="AC98" i="1"/>
  <c r="AE98" i="1"/>
  <c r="CS98" i="1" s="1"/>
  <c r="AF98" i="1"/>
  <c r="AG98" i="1"/>
  <c r="CU98" i="1" s="1"/>
  <c r="AH98" i="1"/>
  <c r="CV98" i="1" s="1"/>
  <c r="U98" i="1" s="1"/>
  <c r="AI98" i="1"/>
  <c r="CW98" i="1" s="1"/>
  <c r="AJ98" i="1"/>
  <c r="CX98" i="1" s="1"/>
  <c r="FR98" i="1"/>
  <c r="GL98" i="1"/>
  <c r="GO98" i="1"/>
  <c r="GP98" i="1"/>
  <c r="GV98" i="1"/>
  <c r="B100" i="1"/>
  <c r="B26" i="1" s="1"/>
  <c r="C100" i="1"/>
  <c r="C26" i="1" s="1"/>
  <c r="D100" i="1"/>
  <c r="D26" i="1" s="1"/>
  <c r="F100" i="1"/>
  <c r="F26" i="1" s="1"/>
  <c r="G100" i="1"/>
  <c r="BX100" i="1"/>
  <c r="BX26" i="1" s="1"/>
  <c r="CK100" i="1"/>
  <c r="CL100" i="1"/>
  <c r="D129" i="1"/>
  <c r="E131" i="1"/>
  <c r="Z131" i="1"/>
  <c r="AA131" i="1"/>
  <c r="AM131" i="1"/>
  <c r="AN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FA131" i="1"/>
  <c r="FB131" i="1"/>
  <c r="FC131" i="1"/>
  <c r="FD131" i="1"/>
  <c r="FE131" i="1"/>
  <c r="FF131" i="1"/>
  <c r="FG131" i="1"/>
  <c r="FH131" i="1"/>
  <c r="FI131" i="1"/>
  <c r="FJ131" i="1"/>
  <c r="FK131" i="1"/>
  <c r="FL131" i="1"/>
  <c r="FM131" i="1"/>
  <c r="FN131" i="1"/>
  <c r="FO131" i="1"/>
  <c r="FP131" i="1"/>
  <c r="FQ131" i="1"/>
  <c r="FR131" i="1"/>
  <c r="FS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GL131" i="1"/>
  <c r="GM131" i="1"/>
  <c r="GN131" i="1"/>
  <c r="GO131" i="1"/>
  <c r="GP131" i="1"/>
  <c r="GQ131" i="1"/>
  <c r="GR131" i="1"/>
  <c r="GS131" i="1"/>
  <c r="GT131" i="1"/>
  <c r="GU131" i="1"/>
  <c r="GV131" i="1"/>
  <c r="GW131" i="1"/>
  <c r="GX131" i="1"/>
  <c r="C133" i="1"/>
  <c r="D133" i="1"/>
  <c r="I133" i="1"/>
  <c r="AC133" i="1"/>
  <c r="H334" i="5" s="1"/>
  <c r="AE133" i="1"/>
  <c r="AF133" i="1"/>
  <c r="AG133" i="1"/>
  <c r="AH133" i="1"/>
  <c r="CV133" i="1" s="1"/>
  <c r="AI133" i="1"/>
  <c r="CW133" i="1" s="1"/>
  <c r="AJ133" i="1"/>
  <c r="CX133" i="1" s="1"/>
  <c r="CU133" i="1"/>
  <c r="FR133" i="1"/>
  <c r="GL133" i="1"/>
  <c r="GN133" i="1"/>
  <c r="GP133" i="1"/>
  <c r="GV133" i="1"/>
  <c r="GX133" i="1" s="1"/>
  <c r="AC134" i="1"/>
  <c r="AE134" i="1"/>
  <c r="AF134" i="1"/>
  <c r="AG134" i="1"/>
  <c r="CU134" i="1" s="1"/>
  <c r="AH134" i="1"/>
  <c r="CV134" i="1" s="1"/>
  <c r="AI134" i="1"/>
  <c r="CW134" i="1" s="1"/>
  <c r="AJ134" i="1"/>
  <c r="CX134" i="1" s="1"/>
  <c r="FR134" i="1"/>
  <c r="GL134" i="1"/>
  <c r="GN134" i="1"/>
  <c r="GP134" i="1"/>
  <c r="GV134" i="1"/>
  <c r="C135" i="1"/>
  <c r="D135" i="1"/>
  <c r="I135" i="1"/>
  <c r="AC135" i="1"/>
  <c r="H345" i="5" s="1"/>
  <c r="AE135" i="1"/>
  <c r="AF135" i="1"/>
  <c r="AG135" i="1"/>
  <c r="AH135" i="1"/>
  <c r="CV135" i="1" s="1"/>
  <c r="AI135" i="1"/>
  <c r="CW135" i="1" s="1"/>
  <c r="V135" i="1" s="1"/>
  <c r="AJ135" i="1"/>
  <c r="CX135" i="1" s="1"/>
  <c r="CU135" i="1"/>
  <c r="FR135" i="1"/>
  <c r="GL135" i="1"/>
  <c r="GN135" i="1"/>
  <c r="GP135" i="1"/>
  <c r="GV135" i="1"/>
  <c r="AC136" i="1"/>
  <c r="AE136" i="1"/>
  <c r="AF136" i="1"/>
  <c r="AG136" i="1"/>
  <c r="CU136" i="1" s="1"/>
  <c r="AH136" i="1"/>
  <c r="AI136" i="1"/>
  <c r="CW136" i="1" s="1"/>
  <c r="AJ136" i="1"/>
  <c r="CT136" i="1"/>
  <c r="CV136" i="1"/>
  <c r="CX136" i="1"/>
  <c r="FR136" i="1"/>
  <c r="GL136" i="1"/>
  <c r="GN136" i="1"/>
  <c r="GP136" i="1"/>
  <c r="GV136" i="1"/>
  <c r="C137" i="1"/>
  <c r="D137" i="1"/>
  <c r="I137" i="1"/>
  <c r="AC137" i="1"/>
  <c r="AD137" i="1"/>
  <c r="AE137" i="1"/>
  <c r="AF137" i="1"/>
  <c r="AG137" i="1"/>
  <c r="AH137" i="1"/>
  <c r="CV137" i="1" s="1"/>
  <c r="AI137" i="1"/>
  <c r="CW137" i="1" s="1"/>
  <c r="AJ137" i="1"/>
  <c r="CX137" i="1" s="1"/>
  <c r="W137" i="1" s="1"/>
  <c r="CQ137" i="1"/>
  <c r="CS137" i="1"/>
  <c r="R137" i="1" s="1"/>
  <c r="CU137" i="1"/>
  <c r="FR137" i="1"/>
  <c r="GL137" i="1"/>
  <c r="GN137" i="1"/>
  <c r="GP137" i="1"/>
  <c r="GV137" i="1"/>
  <c r="AC138" i="1"/>
  <c r="AE138" i="1"/>
  <c r="AF138" i="1"/>
  <c r="AG138" i="1"/>
  <c r="CU138" i="1" s="1"/>
  <c r="AH138" i="1"/>
  <c r="AI138" i="1"/>
  <c r="CW138" i="1" s="1"/>
  <c r="AJ138" i="1"/>
  <c r="CT138" i="1"/>
  <c r="CV138" i="1"/>
  <c r="CX138" i="1"/>
  <c r="FR138" i="1"/>
  <c r="GL138" i="1"/>
  <c r="GN138" i="1"/>
  <c r="GP138" i="1"/>
  <c r="GV138" i="1"/>
  <c r="C139" i="1"/>
  <c r="D139" i="1"/>
  <c r="I139" i="1"/>
  <c r="AC139" i="1"/>
  <c r="AE139" i="1"/>
  <c r="H366" i="5" s="1"/>
  <c r="R366" i="5" s="1"/>
  <c r="AF139" i="1"/>
  <c r="AG139" i="1"/>
  <c r="CU139" i="1" s="1"/>
  <c r="T139" i="1" s="1"/>
  <c r="AH139" i="1"/>
  <c r="CV139" i="1" s="1"/>
  <c r="AI139" i="1"/>
  <c r="CW139" i="1" s="1"/>
  <c r="V139" i="1" s="1"/>
  <c r="AJ139" i="1"/>
  <c r="CX139" i="1" s="1"/>
  <c r="CQ139" i="1"/>
  <c r="P139" i="1" s="1"/>
  <c r="K367" i="5" s="1"/>
  <c r="FR139" i="1"/>
  <c r="GL139" i="1"/>
  <c r="GN139" i="1"/>
  <c r="GP139" i="1"/>
  <c r="GV139" i="1"/>
  <c r="GX139" i="1" s="1"/>
  <c r="AC140" i="1"/>
  <c r="AE140" i="1"/>
  <c r="AF140" i="1"/>
  <c r="CT140" i="1" s="1"/>
  <c r="AG140" i="1"/>
  <c r="CU140" i="1" s="1"/>
  <c r="AH140" i="1"/>
  <c r="AI140" i="1"/>
  <c r="CW140" i="1" s="1"/>
  <c r="AJ140" i="1"/>
  <c r="CX140" i="1" s="1"/>
  <c r="CV140" i="1"/>
  <c r="FR140" i="1"/>
  <c r="GL140" i="1"/>
  <c r="GN140" i="1"/>
  <c r="GP140" i="1"/>
  <c r="GV140" i="1"/>
  <c r="C141" i="1"/>
  <c r="D141" i="1"/>
  <c r="AC141" i="1"/>
  <c r="H375" i="5" s="1"/>
  <c r="AE141" i="1"/>
  <c r="CS141" i="1" s="1"/>
  <c r="R141" i="1" s="1"/>
  <c r="GK141" i="1" s="1"/>
  <c r="AF141" i="1"/>
  <c r="CT141" i="1" s="1"/>
  <c r="S141" i="1" s="1"/>
  <c r="K374" i="5" s="1"/>
  <c r="AG141" i="1"/>
  <c r="CU141" i="1" s="1"/>
  <c r="T141" i="1" s="1"/>
  <c r="AH141" i="1"/>
  <c r="CV141" i="1" s="1"/>
  <c r="U141" i="1" s="1"/>
  <c r="AI141" i="1"/>
  <c r="CW141" i="1" s="1"/>
  <c r="V141" i="1" s="1"/>
  <c r="AJ141" i="1"/>
  <c r="CX141" i="1" s="1"/>
  <c r="W141" i="1" s="1"/>
  <c r="FR141" i="1"/>
  <c r="GL141" i="1"/>
  <c r="GN141" i="1"/>
  <c r="GP141" i="1"/>
  <c r="GV141" i="1"/>
  <c r="GX141" i="1" s="1"/>
  <c r="I142" i="1"/>
  <c r="AC142" i="1"/>
  <c r="CQ142" i="1" s="1"/>
  <c r="AE142" i="1"/>
  <c r="AD142" i="1" s="1"/>
  <c r="CR142" i="1" s="1"/>
  <c r="AF142" i="1"/>
  <c r="AG142" i="1"/>
  <c r="AH142" i="1"/>
  <c r="CV142" i="1" s="1"/>
  <c r="AI142" i="1"/>
  <c r="CW142" i="1" s="1"/>
  <c r="V142" i="1" s="1"/>
  <c r="AJ142" i="1"/>
  <c r="CX142" i="1" s="1"/>
  <c r="CU142" i="1"/>
  <c r="FR142" i="1"/>
  <c r="GL142" i="1"/>
  <c r="GN142" i="1"/>
  <c r="GP142" i="1"/>
  <c r="GV142" i="1"/>
  <c r="C143" i="1"/>
  <c r="D143" i="1"/>
  <c r="AC143" i="1"/>
  <c r="H385" i="5" s="1"/>
  <c r="AE143" i="1"/>
  <c r="H384" i="5" s="1"/>
  <c r="R384" i="5" s="1"/>
  <c r="AF143" i="1"/>
  <c r="AG143" i="1"/>
  <c r="AH143" i="1"/>
  <c r="CV143" i="1" s="1"/>
  <c r="U143" i="1" s="1"/>
  <c r="AI143" i="1"/>
  <c r="CW143" i="1" s="1"/>
  <c r="V143" i="1" s="1"/>
  <c r="AJ143" i="1"/>
  <c r="CX143" i="1" s="1"/>
  <c r="W143" i="1" s="1"/>
  <c r="CU143" i="1"/>
  <c r="T143" i="1" s="1"/>
  <c r="FR143" i="1"/>
  <c r="GL143" i="1"/>
  <c r="GN143" i="1"/>
  <c r="GP143" i="1"/>
  <c r="GV143" i="1"/>
  <c r="GX143" i="1" s="1"/>
  <c r="I144" i="1"/>
  <c r="E389" i="5" s="1"/>
  <c r="AC144" i="1"/>
  <c r="AE144" i="1"/>
  <c r="AF144" i="1"/>
  <c r="CT144" i="1" s="1"/>
  <c r="S144" i="1" s="1"/>
  <c r="AG144" i="1"/>
  <c r="CU144" i="1" s="1"/>
  <c r="AH144" i="1"/>
  <c r="AI144" i="1"/>
  <c r="CW144" i="1" s="1"/>
  <c r="AJ144" i="1"/>
  <c r="CX144" i="1" s="1"/>
  <c r="W144" i="1" s="1"/>
  <c r="CV144" i="1"/>
  <c r="U144" i="1" s="1"/>
  <c r="FR144" i="1"/>
  <c r="GL144" i="1"/>
  <c r="GN144" i="1"/>
  <c r="GP144" i="1"/>
  <c r="GV144" i="1"/>
  <c r="I145" i="1"/>
  <c r="T145" i="1"/>
  <c r="AC145" i="1"/>
  <c r="AD145" i="1"/>
  <c r="CR145" i="1" s="1"/>
  <c r="Q145" i="1" s="1"/>
  <c r="AE145" i="1"/>
  <c r="AF145" i="1"/>
  <c r="AG145" i="1"/>
  <c r="AH145" i="1"/>
  <c r="CV145" i="1" s="1"/>
  <c r="U145" i="1" s="1"/>
  <c r="AI145" i="1"/>
  <c r="AJ145" i="1"/>
  <c r="CX145" i="1" s="1"/>
  <c r="W145" i="1" s="1"/>
  <c r="CQ145" i="1"/>
  <c r="CS145" i="1"/>
  <c r="R145" i="1" s="1"/>
  <c r="GK145" i="1" s="1"/>
  <c r="CU145" i="1"/>
  <c r="CW145" i="1"/>
  <c r="V145" i="1" s="1"/>
  <c r="FR145" i="1"/>
  <c r="GL145" i="1"/>
  <c r="GN145" i="1"/>
  <c r="GP145" i="1"/>
  <c r="GV145" i="1"/>
  <c r="C146" i="1"/>
  <c r="D146" i="1"/>
  <c r="I146" i="1"/>
  <c r="AC146" i="1"/>
  <c r="AE146" i="1"/>
  <c r="H396" i="5" s="1"/>
  <c r="R396" i="5" s="1"/>
  <c r="AF146" i="1"/>
  <c r="CT146" i="1" s="1"/>
  <c r="AG146" i="1"/>
  <c r="CU146" i="1" s="1"/>
  <c r="T146" i="1" s="1"/>
  <c r="AH146" i="1"/>
  <c r="AI146" i="1"/>
  <c r="CW146" i="1" s="1"/>
  <c r="V146" i="1" s="1"/>
  <c r="AJ146" i="1"/>
  <c r="CX146" i="1" s="1"/>
  <c r="CV146" i="1"/>
  <c r="U146" i="1" s="1"/>
  <c r="FR146" i="1"/>
  <c r="GL146" i="1"/>
  <c r="GN146" i="1"/>
  <c r="GP146" i="1"/>
  <c r="GV146" i="1"/>
  <c r="I147" i="1"/>
  <c r="AC147" i="1"/>
  <c r="AE147" i="1"/>
  <c r="AD147" i="1" s="1"/>
  <c r="CR147" i="1" s="1"/>
  <c r="Q147" i="1" s="1"/>
  <c r="AF147" i="1"/>
  <c r="AG147" i="1"/>
  <c r="CU147" i="1" s="1"/>
  <c r="T147" i="1" s="1"/>
  <c r="AH147" i="1"/>
  <c r="CV147" i="1" s="1"/>
  <c r="AI147" i="1"/>
  <c r="CW147" i="1" s="1"/>
  <c r="V147" i="1" s="1"/>
  <c r="AJ147" i="1"/>
  <c r="CX147" i="1" s="1"/>
  <c r="CQ147" i="1"/>
  <c r="P147" i="1" s="1"/>
  <c r="FR147" i="1"/>
  <c r="GL147" i="1"/>
  <c r="GN147" i="1"/>
  <c r="GP147" i="1"/>
  <c r="GV147" i="1"/>
  <c r="C148" i="1"/>
  <c r="D148" i="1"/>
  <c r="AC148" i="1"/>
  <c r="H406" i="5" s="1"/>
  <c r="AE148" i="1"/>
  <c r="AD148" i="1" s="1"/>
  <c r="H405" i="5" s="1"/>
  <c r="AF148" i="1"/>
  <c r="AG148" i="1"/>
  <c r="CU148" i="1" s="1"/>
  <c r="T148" i="1" s="1"/>
  <c r="AH148" i="1"/>
  <c r="CV148" i="1" s="1"/>
  <c r="U148" i="1" s="1"/>
  <c r="AI148" i="1"/>
  <c r="CW148" i="1" s="1"/>
  <c r="V148" i="1" s="1"/>
  <c r="AJ148" i="1"/>
  <c r="CX148" i="1" s="1"/>
  <c r="W148" i="1" s="1"/>
  <c r="CQ148" i="1"/>
  <c r="P148" i="1" s="1"/>
  <c r="K406" i="5" s="1"/>
  <c r="FR148" i="1"/>
  <c r="GL148" i="1"/>
  <c r="GN148" i="1"/>
  <c r="GP148" i="1"/>
  <c r="GV148" i="1"/>
  <c r="GX148" i="1" s="1"/>
  <c r="I149" i="1"/>
  <c r="E410" i="5" s="1"/>
  <c r="AC149" i="1"/>
  <c r="AE149" i="1"/>
  <c r="AF149" i="1"/>
  <c r="CT149" i="1" s="1"/>
  <c r="S149" i="1" s="1"/>
  <c r="AG149" i="1"/>
  <c r="CU149" i="1" s="1"/>
  <c r="AH149" i="1"/>
  <c r="CV149" i="1" s="1"/>
  <c r="U149" i="1" s="1"/>
  <c r="AI149" i="1"/>
  <c r="CW149" i="1" s="1"/>
  <c r="AJ149" i="1"/>
  <c r="CX149" i="1" s="1"/>
  <c r="W149" i="1" s="1"/>
  <c r="FR149" i="1"/>
  <c r="GL149" i="1"/>
  <c r="GN149" i="1"/>
  <c r="GP149" i="1"/>
  <c r="GV149" i="1"/>
  <c r="GX149" i="1" s="1"/>
  <c r="I150" i="1"/>
  <c r="E411" i="5" s="1"/>
  <c r="AC150" i="1"/>
  <c r="CQ150" i="1" s="1"/>
  <c r="P150" i="1" s="1"/>
  <c r="AE150" i="1"/>
  <c r="AD150" i="1" s="1"/>
  <c r="CR150" i="1" s="1"/>
  <c r="Q150" i="1" s="1"/>
  <c r="AF150" i="1"/>
  <c r="AG150" i="1"/>
  <c r="AH150" i="1"/>
  <c r="CV150" i="1" s="1"/>
  <c r="U150" i="1" s="1"/>
  <c r="AI150" i="1"/>
  <c r="CW150" i="1" s="1"/>
  <c r="V150" i="1" s="1"/>
  <c r="AJ150" i="1"/>
  <c r="CX150" i="1" s="1"/>
  <c r="W150" i="1" s="1"/>
  <c r="CU150" i="1"/>
  <c r="T150" i="1" s="1"/>
  <c r="FR150" i="1"/>
  <c r="GL150" i="1"/>
  <c r="GN150" i="1"/>
  <c r="GP150" i="1"/>
  <c r="GV150" i="1"/>
  <c r="GX150" i="1" s="1"/>
  <c r="C151" i="1"/>
  <c r="D151" i="1"/>
  <c r="I151" i="1"/>
  <c r="AC151" i="1"/>
  <c r="AE151" i="1"/>
  <c r="AF151" i="1"/>
  <c r="CT151" i="1" s="1"/>
  <c r="AG151" i="1"/>
  <c r="CU151" i="1" s="1"/>
  <c r="AH151" i="1"/>
  <c r="AI151" i="1"/>
  <c r="CW151" i="1" s="1"/>
  <c r="AJ151" i="1"/>
  <c r="CX151" i="1" s="1"/>
  <c r="CV151" i="1"/>
  <c r="U151" i="1" s="1"/>
  <c r="FR151" i="1"/>
  <c r="GL151" i="1"/>
  <c r="GN151" i="1"/>
  <c r="GP151" i="1"/>
  <c r="GV151" i="1"/>
  <c r="I152" i="1"/>
  <c r="E422" i="5" s="1"/>
  <c r="AC152" i="1"/>
  <c r="AE152" i="1"/>
  <c r="AD152" i="1" s="1"/>
  <c r="CR152" i="1" s="1"/>
  <c r="Q152" i="1" s="1"/>
  <c r="AF152" i="1"/>
  <c r="AG152" i="1"/>
  <c r="CU152" i="1" s="1"/>
  <c r="T152" i="1" s="1"/>
  <c r="AH152" i="1"/>
  <c r="CV152" i="1" s="1"/>
  <c r="AI152" i="1"/>
  <c r="CW152" i="1" s="1"/>
  <c r="V152" i="1" s="1"/>
  <c r="AJ152" i="1"/>
  <c r="CX152" i="1" s="1"/>
  <c r="CQ152" i="1"/>
  <c r="P152" i="1" s="1"/>
  <c r="FR152" i="1"/>
  <c r="GL152" i="1"/>
  <c r="GN152" i="1"/>
  <c r="GP152" i="1"/>
  <c r="GV152" i="1"/>
  <c r="GX152" i="1" s="1"/>
  <c r="C153" i="1"/>
  <c r="D153" i="1"/>
  <c r="I153" i="1"/>
  <c r="AC153" i="1"/>
  <c r="H429" i="5" s="1"/>
  <c r="AE153" i="1"/>
  <c r="AF153" i="1"/>
  <c r="CT153" i="1" s="1"/>
  <c r="S153" i="1" s="1"/>
  <c r="K426" i="5" s="1"/>
  <c r="AG153" i="1"/>
  <c r="CU153" i="1" s="1"/>
  <c r="AH153" i="1"/>
  <c r="CV153" i="1" s="1"/>
  <c r="U153" i="1" s="1"/>
  <c r="AI153" i="1"/>
  <c r="CW153" i="1" s="1"/>
  <c r="AJ153" i="1"/>
  <c r="CX153" i="1" s="1"/>
  <c r="W153" i="1" s="1"/>
  <c r="FR153" i="1"/>
  <c r="GL153" i="1"/>
  <c r="GN153" i="1"/>
  <c r="GP153" i="1"/>
  <c r="GV153" i="1"/>
  <c r="GX153" i="1" s="1"/>
  <c r="I154" i="1"/>
  <c r="E433" i="5" s="1"/>
  <c r="AC154" i="1"/>
  <c r="CQ154" i="1" s="1"/>
  <c r="P154" i="1" s="1"/>
  <c r="AE154" i="1"/>
  <c r="AD154" i="1" s="1"/>
  <c r="CR154" i="1" s="1"/>
  <c r="Q154" i="1" s="1"/>
  <c r="AF154" i="1"/>
  <c r="AG154" i="1"/>
  <c r="AH154" i="1"/>
  <c r="CV154" i="1" s="1"/>
  <c r="U154" i="1" s="1"/>
  <c r="AI154" i="1"/>
  <c r="CW154" i="1" s="1"/>
  <c r="V154" i="1" s="1"/>
  <c r="AJ154" i="1"/>
  <c r="CX154" i="1" s="1"/>
  <c r="W154" i="1" s="1"/>
  <c r="CU154" i="1"/>
  <c r="T154" i="1" s="1"/>
  <c r="FR154" i="1"/>
  <c r="GL154" i="1"/>
  <c r="GN154" i="1"/>
  <c r="GP154" i="1"/>
  <c r="GV154" i="1"/>
  <c r="GX154" i="1" s="1"/>
  <c r="C155" i="1"/>
  <c r="D155" i="1"/>
  <c r="I155" i="1"/>
  <c r="AC155" i="1"/>
  <c r="AE155" i="1"/>
  <c r="AD155" i="1" s="1"/>
  <c r="CR155" i="1" s="1"/>
  <c r="Q155" i="1" s="1"/>
  <c r="AF155" i="1"/>
  <c r="AG155" i="1"/>
  <c r="CU155" i="1" s="1"/>
  <c r="T155" i="1" s="1"/>
  <c r="AH155" i="1"/>
  <c r="AI155" i="1"/>
  <c r="CW155" i="1" s="1"/>
  <c r="V155" i="1" s="1"/>
  <c r="AJ155" i="1"/>
  <c r="CX155" i="1" s="1"/>
  <c r="CS155" i="1"/>
  <c r="R155" i="1" s="1"/>
  <c r="GK155" i="1" s="1"/>
  <c r="CT155" i="1"/>
  <c r="CV155" i="1"/>
  <c r="U155" i="1" s="1"/>
  <c r="FR155" i="1"/>
  <c r="GL155" i="1"/>
  <c r="GN155" i="1"/>
  <c r="GP155" i="1"/>
  <c r="GV155" i="1"/>
  <c r="I156" i="1"/>
  <c r="E442" i="5" s="1"/>
  <c r="AC156" i="1"/>
  <c r="AE156" i="1"/>
  <c r="AF156" i="1"/>
  <c r="AG156" i="1"/>
  <c r="CU156" i="1" s="1"/>
  <c r="T156" i="1" s="1"/>
  <c r="AH156" i="1"/>
  <c r="AI156" i="1"/>
  <c r="CW156" i="1" s="1"/>
  <c r="V156" i="1" s="1"/>
  <c r="AJ156" i="1"/>
  <c r="CX156" i="1" s="1"/>
  <c r="CQ156" i="1"/>
  <c r="P156" i="1" s="1"/>
  <c r="CV156" i="1"/>
  <c r="FR156" i="1"/>
  <c r="GL156" i="1"/>
  <c r="GN156" i="1"/>
  <c r="GP156" i="1"/>
  <c r="GV156" i="1"/>
  <c r="C157" i="1"/>
  <c r="D157" i="1"/>
  <c r="I157" i="1"/>
  <c r="AC157" i="1"/>
  <c r="AE157" i="1"/>
  <c r="AF157" i="1"/>
  <c r="AG157" i="1"/>
  <c r="CU157" i="1" s="1"/>
  <c r="AH157" i="1"/>
  <c r="CV157" i="1" s="1"/>
  <c r="AI157" i="1"/>
  <c r="CW157" i="1" s="1"/>
  <c r="AJ157" i="1"/>
  <c r="CS157" i="1"/>
  <c r="CT157" i="1"/>
  <c r="CX157" i="1"/>
  <c r="W157" i="1" s="1"/>
  <c r="FR157" i="1"/>
  <c r="GL157" i="1"/>
  <c r="GN157" i="1"/>
  <c r="GP157" i="1"/>
  <c r="GV157" i="1"/>
  <c r="I158" i="1"/>
  <c r="E453" i="5" s="1"/>
  <c r="AC158" i="1"/>
  <c r="AE158" i="1"/>
  <c r="AD158" i="1" s="1"/>
  <c r="CR158" i="1" s="1"/>
  <c r="AF158" i="1"/>
  <c r="AG158" i="1"/>
  <c r="CU158" i="1" s="1"/>
  <c r="AH158" i="1"/>
  <c r="AI158" i="1"/>
  <c r="CW158" i="1" s="1"/>
  <c r="AJ158" i="1"/>
  <c r="CX158" i="1" s="1"/>
  <c r="CS158" i="1"/>
  <c r="R158" i="1" s="1"/>
  <c r="GK158" i="1" s="1"/>
  <c r="CV158" i="1"/>
  <c r="U158" i="1" s="1"/>
  <c r="FR158" i="1"/>
  <c r="GL158" i="1"/>
  <c r="GN158" i="1"/>
  <c r="GP158" i="1"/>
  <c r="GV158" i="1"/>
  <c r="GX158" i="1" s="1"/>
  <c r="C159" i="1"/>
  <c r="D159" i="1"/>
  <c r="I159" i="1"/>
  <c r="AC159" i="1"/>
  <c r="AE159" i="1"/>
  <c r="AD159" i="1" s="1"/>
  <c r="AF159" i="1"/>
  <c r="AG159" i="1"/>
  <c r="AH159" i="1"/>
  <c r="CV159" i="1" s="1"/>
  <c r="U159" i="1" s="1"/>
  <c r="AI159" i="1"/>
  <c r="CW159" i="1" s="1"/>
  <c r="AJ159" i="1"/>
  <c r="CQ159" i="1"/>
  <c r="P159" i="1" s="1"/>
  <c r="K460" i="5" s="1"/>
  <c r="CT159" i="1"/>
  <c r="S159" i="1" s="1"/>
  <c r="CU159" i="1"/>
  <c r="CX159" i="1"/>
  <c r="W159" i="1" s="1"/>
  <c r="FR159" i="1"/>
  <c r="GL159" i="1"/>
  <c r="GN159" i="1"/>
  <c r="GP159" i="1"/>
  <c r="GV159" i="1"/>
  <c r="GX159" i="1" s="1"/>
  <c r="I160" i="1"/>
  <c r="E464" i="5" s="1"/>
  <c r="AC160" i="1"/>
  <c r="AE160" i="1"/>
  <c r="AD160" i="1" s="1"/>
  <c r="CR160" i="1" s="1"/>
  <c r="Q160" i="1" s="1"/>
  <c r="AF160" i="1"/>
  <c r="AG160" i="1"/>
  <c r="CU160" i="1" s="1"/>
  <c r="AH160" i="1"/>
  <c r="CV160" i="1" s="1"/>
  <c r="U160" i="1" s="1"/>
  <c r="AI160" i="1"/>
  <c r="AJ160" i="1"/>
  <c r="CS160" i="1"/>
  <c r="CT160" i="1"/>
  <c r="S160" i="1" s="1"/>
  <c r="CW160" i="1"/>
  <c r="CX160" i="1"/>
  <c r="W160" i="1" s="1"/>
  <c r="FR160" i="1"/>
  <c r="GL160" i="1"/>
  <c r="GN160" i="1"/>
  <c r="GP160" i="1"/>
  <c r="GV160" i="1"/>
  <c r="GX160" i="1"/>
  <c r="B162" i="1"/>
  <c r="B131" i="1" s="1"/>
  <c r="C162" i="1"/>
  <c r="C131" i="1" s="1"/>
  <c r="D162" i="1"/>
  <c r="D131" i="1" s="1"/>
  <c r="F162" i="1"/>
  <c r="F131" i="1" s="1"/>
  <c r="G162" i="1"/>
  <c r="BX162" i="1"/>
  <c r="BX131" i="1" s="1"/>
  <c r="BZ162" i="1"/>
  <c r="CK162" i="1"/>
  <c r="CK131" i="1" s="1"/>
  <c r="CL162" i="1"/>
  <c r="D191" i="1"/>
  <c r="E193" i="1"/>
  <c r="Z193" i="1"/>
  <c r="AA193" i="1"/>
  <c r="AM193" i="1"/>
  <c r="AN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BQ193" i="1"/>
  <c r="BR193" i="1"/>
  <c r="BS193" i="1"/>
  <c r="BT193" i="1"/>
  <c r="BU193" i="1"/>
  <c r="BV193" i="1"/>
  <c r="BW193" i="1"/>
  <c r="CM193" i="1"/>
  <c r="CN193" i="1"/>
  <c r="CO193" i="1"/>
  <c r="CP193" i="1"/>
  <c r="CQ193" i="1"/>
  <c r="CR193" i="1"/>
  <c r="CS193" i="1"/>
  <c r="CT193" i="1"/>
  <c r="CU193" i="1"/>
  <c r="CV193" i="1"/>
  <c r="CW193" i="1"/>
  <c r="CX193" i="1"/>
  <c r="CY193" i="1"/>
  <c r="CZ193" i="1"/>
  <c r="DA193" i="1"/>
  <c r="DB193" i="1"/>
  <c r="DC193" i="1"/>
  <c r="DD193" i="1"/>
  <c r="DE193" i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EA193" i="1"/>
  <c r="EB193" i="1"/>
  <c r="EC193" i="1"/>
  <c r="ED193" i="1"/>
  <c r="EE193" i="1"/>
  <c r="EF193" i="1"/>
  <c r="EG193" i="1"/>
  <c r="EH193" i="1"/>
  <c r="EI193" i="1"/>
  <c r="EJ193" i="1"/>
  <c r="EK193" i="1"/>
  <c r="EL193" i="1"/>
  <c r="EM193" i="1"/>
  <c r="EN193" i="1"/>
  <c r="EO193" i="1"/>
  <c r="EP193" i="1"/>
  <c r="EQ193" i="1"/>
  <c r="ER193" i="1"/>
  <c r="ES193" i="1"/>
  <c r="ET193" i="1"/>
  <c r="EU193" i="1"/>
  <c r="EV193" i="1"/>
  <c r="EW193" i="1"/>
  <c r="EX193" i="1"/>
  <c r="EY193" i="1"/>
  <c r="EZ193" i="1"/>
  <c r="FA193" i="1"/>
  <c r="FB193" i="1"/>
  <c r="FC193" i="1"/>
  <c r="FD193" i="1"/>
  <c r="FE193" i="1"/>
  <c r="FF193" i="1"/>
  <c r="FG193" i="1"/>
  <c r="FH193" i="1"/>
  <c r="FI193" i="1"/>
  <c r="FJ193" i="1"/>
  <c r="FK193" i="1"/>
  <c r="FL193" i="1"/>
  <c r="FM193" i="1"/>
  <c r="FN193" i="1"/>
  <c r="FO193" i="1"/>
  <c r="FP193" i="1"/>
  <c r="FQ193" i="1"/>
  <c r="FR193" i="1"/>
  <c r="FS193" i="1"/>
  <c r="FT193" i="1"/>
  <c r="FU193" i="1"/>
  <c r="FV193" i="1"/>
  <c r="FW193" i="1"/>
  <c r="FX193" i="1"/>
  <c r="FY193" i="1"/>
  <c r="FZ193" i="1"/>
  <c r="GA193" i="1"/>
  <c r="GB193" i="1"/>
  <c r="GC193" i="1"/>
  <c r="GD193" i="1"/>
  <c r="GE193" i="1"/>
  <c r="GF193" i="1"/>
  <c r="GG193" i="1"/>
  <c r="GH193" i="1"/>
  <c r="GI193" i="1"/>
  <c r="GJ193" i="1"/>
  <c r="GK193" i="1"/>
  <c r="GL193" i="1"/>
  <c r="GM193" i="1"/>
  <c r="GN193" i="1"/>
  <c r="GO193" i="1"/>
  <c r="GP193" i="1"/>
  <c r="GQ193" i="1"/>
  <c r="GR193" i="1"/>
  <c r="GS193" i="1"/>
  <c r="GT193" i="1"/>
  <c r="GU193" i="1"/>
  <c r="GV193" i="1"/>
  <c r="GW193" i="1"/>
  <c r="GX193" i="1"/>
  <c r="C195" i="1"/>
  <c r="D195" i="1"/>
  <c r="AC195" i="1"/>
  <c r="AD195" i="1"/>
  <c r="CR195" i="1" s="1"/>
  <c r="Q195" i="1" s="1"/>
  <c r="AE195" i="1"/>
  <c r="AF195" i="1"/>
  <c r="AG195" i="1"/>
  <c r="CU195" i="1" s="1"/>
  <c r="T195" i="1" s="1"/>
  <c r="AH195" i="1"/>
  <c r="CV195" i="1" s="1"/>
  <c r="U195" i="1" s="1"/>
  <c r="AI195" i="1"/>
  <c r="AJ195" i="1"/>
  <c r="CS195" i="1"/>
  <c r="R195" i="1" s="1"/>
  <c r="CT195" i="1"/>
  <c r="S195" i="1" s="1"/>
  <c r="K469" i="5" s="1"/>
  <c r="CW195" i="1"/>
  <c r="V195" i="1" s="1"/>
  <c r="CX195" i="1"/>
  <c r="W195" i="1" s="1"/>
  <c r="FR195" i="1"/>
  <c r="GL195" i="1"/>
  <c r="GN195" i="1"/>
  <c r="GO195" i="1"/>
  <c r="GV195" i="1"/>
  <c r="GX195" i="1"/>
  <c r="C196" i="1"/>
  <c r="D196" i="1"/>
  <c r="I196" i="1"/>
  <c r="P196" i="1"/>
  <c r="AC196" i="1"/>
  <c r="AD196" i="1"/>
  <c r="CR196" i="1" s="1"/>
  <c r="Q196" i="1" s="1"/>
  <c r="AE196" i="1"/>
  <c r="CS196" i="1" s="1"/>
  <c r="R196" i="1" s="1"/>
  <c r="GK196" i="1" s="1"/>
  <c r="AF196" i="1"/>
  <c r="AG196" i="1"/>
  <c r="AH196" i="1"/>
  <c r="CV196" i="1" s="1"/>
  <c r="U196" i="1" s="1"/>
  <c r="AI196" i="1"/>
  <c r="CW196" i="1" s="1"/>
  <c r="V196" i="1" s="1"/>
  <c r="AJ196" i="1"/>
  <c r="CQ196" i="1"/>
  <c r="CT196" i="1"/>
  <c r="S196" i="1" s="1"/>
  <c r="CU196" i="1"/>
  <c r="T196" i="1" s="1"/>
  <c r="CX196" i="1"/>
  <c r="W196" i="1" s="1"/>
  <c r="FR196" i="1"/>
  <c r="GL196" i="1"/>
  <c r="GN196" i="1"/>
  <c r="GO196" i="1"/>
  <c r="GV196" i="1"/>
  <c r="GX196" i="1" s="1"/>
  <c r="C197" i="1"/>
  <c r="D197" i="1"/>
  <c r="AC197" i="1"/>
  <c r="CQ197" i="1" s="1"/>
  <c r="P197" i="1" s="1"/>
  <c r="AE197" i="1"/>
  <c r="AD197" i="1" s="1"/>
  <c r="CR197" i="1" s="1"/>
  <c r="Q197" i="1" s="1"/>
  <c r="AF197" i="1"/>
  <c r="AG197" i="1"/>
  <c r="CU197" i="1" s="1"/>
  <c r="T197" i="1" s="1"/>
  <c r="AH197" i="1"/>
  <c r="AI197" i="1"/>
  <c r="AJ197" i="1"/>
  <c r="CX197" i="1" s="1"/>
  <c r="W197" i="1" s="1"/>
  <c r="CS197" i="1"/>
  <c r="R197" i="1" s="1"/>
  <c r="GK197" i="1" s="1"/>
  <c r="CV197" i="1"/>
  <c r="U197" i="1" s="1"/>
  <c r="CW197" i="1"/>
  <c r="V197" i="1" s="1"/>
  <c r="AI199" i="1" s="1"/>
  <c r="FR197" i="1"/>
  <c r="BY199" i="1" s="1"/>
  <c r="GL197" i="1"/>
  <c r="GN197" i="1"/>
  <c r="GO197" i="1"/>
  <c r="GV197" i="1"/>
  <c r="GX197" i="1" s="1"/>
  <c r="B199" i="1"/>
  <c r="B193" i="1" s="1"/>
  <c r="C199" i="1"/>
  <c r="C193" i="1" s="1"/>
  <c r="D199" i="1"/>
  <c r="D193" i="1" s="1"/>
  <c r="F199" i="1"/>
  <c r="F193" i="1" s="1"/>
  <c r="G199" i="1"/>
  <c r="BX199" i="1"/>
  <c r="CB199" i="1"/>
  <c r="CB193" i="1" s="1"/>
  <c r="CK199" i="1"/>
  <c r="BB199" i="1" s="1"/>
  <c r="CL199" i="1"/>
  <c r="BC199" i="1" s="1"/>
  <c r="BC193" i="1" s="1"/>
  <c r="D228" i="1"/>
  <c r="E230" i="1"/>
  <c r="Z230" i="1"/>
  <c r="AA230" i="1"/>
  <c r="AM230" i="1"/>
  <c r="AN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BQ230" i="1"/>
  <c r="BR230" i="1"/>
  <c r="BS230" i="1"/>
  <c r="BT230" i="1"/>
  <c r="BU230" i="1"/>
  <c r="BV230" i="1"/>
  <c r="BW230" i="1"/>
  <c r="CM230" i="1"/>
  <c r="CN230" i="1"/>
  <c r="CO230" i="1"/>
  <c r="CP230" i="1"/>
  <c r="CQ230" i="1"/>
  <c r="CR230" i="1"/>
  <c r="CS230" i="1"/>
  <c r="CT230" i="1"/>
  <c r="CU230" i="1"/>
  <c r="CV230" i="1"/>
  <c r="CW230" i="1"/>
  <c r="CX230" i="1"/>
  <c r="CY230" i="1"/>
  <c r="CZ230" i="1"/>
  <c r="DA230" i="1"/>
  <c r="DB230" i="1"/>
  <c r="DC230" i="1"/>
  <c r="DD230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EA230" i="1"/>
  <c r="EB230" i="1"/>
  <c r="EC230" i="1"/>
  <c r="ED230" i="1"/>
  <c r="EE230" i="1"/>
  <c r="EF230" i="1"/>
  <c r="EG230" i="1"/>
  <c r="EH230" i="1"/>
  <c r="EI230" i="1"/>
  <c r="EJ230" i="1"/>
  <c r="EK230" i="1"/>
  <c r="EL230" i="1"/>
  <c r="EM230" i="1"/>
  <c r="EN230" i="1"/>
  <c r="EO230" i="1"/>
  <c r="EP230" i="1"/>
  <c r="EQ230" i="1"/>
  <c r="ER230" i="1"/>
  <c r="ES230" i="1"/>
  <c r="ET230" i="1"/>
  <c r="EU230" i="1"/>
  <c r="EV230" i="1"/>
  <c r="EW230" i="1"/>
  <c r="EX230" i="1"/>
  <c r="EY230" i="1"/>
  <c r="EZ230" i="1"/>
  <c r="FA230" i="1"/>
  <c r="FB230" i="1"/>
  <c r="FC230" i="1"/>
  <c r="FD230" i="1"/>
  <c r="FE230" i="1"/>
  <c r="FF230" i="1"/>
  <c r="FG230" i="1"/>
  <c r="FH230" i="1"/>
  <c r="FI230" i="1"/>
  <c r="FJ230" i="1"/>
  <c r="FK230" i="1"/>
  <c r="FL230" i="1"/>
  <c r="FM230" i="1"/>
  <c r="FN230" i="1"/>
  <c r="FO230" i="1"/>
  <c r="FP230" i="1"/>
  <c r="FQ230" i="1"/>
  <c r="FR230" i="1"/>
  <c r="FS230" i="1"/>
  <c r="FT230" i="1"/>
  <c r="FU230" i="1"/>
  <c r="FV230" i="1"/>
  <c r="FW230" i="1"/>
  <c r="FX230" i="1"/>
  <c r="FY230" i="1"/>
  <c r="FZ230" i="1"/>
  <c r="GA230" i="1"/>
  <c r="GB230" i="1"/>
  <c r="GC230" i="1"/>
  <c r="GD230" i="1"/>
  <c r="GE230" i="1"/>
  <c r="GF230" i="1"/>
  <c r="GG230" i="1"/>
  <c r="GH230" i="1"/>
  <c r="GI230" i="1"/>
  <c r="GJ230" i="1"/>
  <c r="GK230" i="1"/>
  <c r="GL230" i="1"/>
  <c r="GM230" i="1"/>
  <c r="GN230" i="1"/>
  <c r="GO230" i="1"/>
  <c r="GP230" i="1"/>
  <c r="GQ230" i="1"/>
  <c r="GR230" i="1"/>
  <c r="GS230" i="1"/>
  <c r="GT230" i="1"/>
  <c r="GU230" i="1"/>
  <c r="GV230" i="1"/>
  <c r="GW230" i="1"/>
  <c r="GX230" i="1"/>
  <c r="C232" i="1"/>
  <c r="D232" i="1"/>
  <c r="I232" i="1"/>
  <c r="AC232" i="1"/>
  <c r="AE232" i="1"/>
  <c r="AD232" i="1" s="1"/>
  <c r="AF232" i="1"/>
  <c r="AG232" i="1"/>
  <c r="CU232" i="1" s="1"/>
  <c r="T232" i="1" s="1"/>
  <c r="AH232" i="1"/>
  <c r="CV232" i="1" s="1"/>
  <c r="AI232" i="1"/>
  <c r="CW232" i="1" s="1"/>
  <c r="V232" i="1" s="1"/>
  <c r="AJ232" i="1"/>
  <c r="CX232" i="1" s="1"/>
  <c r="CQ232" i="1"/>
  <c r="P232" i="1" s="1"/>
  <c r="FR232" i="1"/>
  <c r="GL232" i="1"/>
  <c r="GO232" i="1"/>
  <c r="GP232" i="1"/>
  <c r="GV232" i="1"/>
  <c r="C233" i="1"/>
  <c r="D233" i="1"/>
  <c r="I233" i="1"/>
  <c r="AC233" i="1"/>
  <c r="CQ233" i="1" s="1"/>
  <c r="AE233" i="1"/>
  <c r="CS233" i="1" s="1"/>
  <c r="R233" i="1" s="1"/>
  <c r="K502" i="5" s="1"/>
  <c r="AF233" i="1"/>
  <c r="AG233" i="1"/>
  <c r="CU233" i="1" s="1"/>
  <c r="T233" i="1" s="1"/>
  <c r="AH233" i="1"/>
  <c r="CV233" i="1" s="1"/>
  <c r="U233" i="1" s="1"/>
  <c r="AI233" i="1"/>
  <c r="CW233" i="1" s="1"/>
  <c r="V233" i="1" s="1"/>
  <c r="AJ233" i="1"/>
  <c r="CX233" i="1" s="1"/>
  <c r="FR233" i="1"/>
  <c r="GL233" i="1"/>
  <c r="GO233" i="1"/>
  <c r="GP233" i="1"/>
  <c r="GV233" i="1"/>
  <c r="GX233" i="1" s="1"/>
  <c r="C234" i="1"/>
  <c r="D234" i="1"/>
  <c r="I234" i="1"/>
  <c r="I235" i="1" s="1"/>
  <c r="AC234" i="1"/>
  <c r="AE234" i="1"/>
  <c r="H511" i="5" s="1"/>
  <c r="R511" i="5" s="1"/>
  <c r="AF234" i="1"/>
  <c r="AG234" i="1"/>
  <c r="CU234" i="1" s="1"/>
  <c r="AH234" i="1"/>
  <c r="CV234" i="1" s="1"/>
  <c r="AI234" i="1"/>
  <c r="CW234" i="1" s="1"/>
  <c r="V234" i="1" s="1"/>
  <c r="AJ234" i="1"/>
  <c r="CX234" i="1" s="1"/>
  <c r="CS234" i="1"/>
  <c r="R234" i="1" s="1"/>
  <c r="FR234" i="1"/>
  <c r="GL234" i="1"/>
  <c r="GO234" i="1"/>
  <c r="GP234" i="1"/>
  <c r="GV234" i="1"/>
  <c r="AC235" i="1"/>
  <c r="AE235" i="1"/>
  <c r="AD235" i="1" s="1"/>
  <c r="AB235" i="1" s="1"/>
  <c r="AF235" i="1"/>
  <c r="AG235" i="1"/>
  <c r="CU235" i="1" s="1"/>
  <c r="AH235" i="1"/>
  <c r="AI235" i="1"/>
  <c r="AJ235" i="1"/>
  <c r="CX235" i="1" s="1"/>
  <c r="CR235" i="1"/>
  <c r="CV235" i="1"/>
  <c r="CW235" i="1"/>
  <c r="FR235" i="1"/>
  <c r="GL235" i="1"/>
  <c r="GO235" i="1"/>
  <c r="GP235" i="1"/>
  <c r="GV235" i="1"/>
  <c r="AC236" i="1"/>
  <c r="AE236" i="1"/>
  <c r="CS236" i="1" s="1"/>
  <c r="AF236" i="1"/>
  <c r="AG236" i="1"/>
  <c r="AH236" i="1"/>
  <c r="CV236" i="1" s="1"/>
  <c r="AI236" i="1"/>
  <c r="CW236" i="1" s="1"/>
  <c r="AJ236" i="1"/>
  <c r="CX236" i="1" s="1"/>
  <c r="CQ236" i="1"/>
  <c r="CU236" i="1"/>
  <c r="FR236" i="1"/>
  <c r="GL236" i="1"/>
  <c r="GO236" i="1"/>
  <c r="GP236" i="1"/>
  <c r="GV236" i="1"/>
  <c r="AC237" i="1"/>
  <c r="AE237" i="1"/>
  <c r="CS237" i="1" s="1"/>
  <c r="AF237" i="1"/>
  <c r="AG237" i="1"/>
  <c r="AH237" i="1"/>
  <c r="CV237" i="1" s="1"/>
  <c r="AI237" i="1"/>
  <c r="CW237" i="1" s="1"/>
  <c r="AJ237" i="1"/>
  <c r="CQ237" i="1"/>
  <c r="CT237" i="1"/>
  <c r="CU237" i="1"/>
  <c r="CX237" i="1"/>
  <c r="FR237" i="1"/>
  <c r="GL237" i="1"/>
  <c r="GO237" i="1"/>
  <c r="GP237" i="1"/>
  <c r="GV237" i="1"/>
  <c r="I238" i="1"/>
  <c r="E519" i="5" s="1"/>
  <c r="AC238" i="1"/>
  <c r="AE238" i="1"/>
  <c r="AD238" i="1" s="1"/>
  <c r="CR238" i="1" s="1"/>
  <c r="Q238" i="1" s="1"/>
  <c r="AF238" i="1"/>
  <c r="AG238" i="1"/>
  <c r="CU238" i="1" s="1"/>
  <c r="T238" i="1" s="1"/>
  <c r="AH238" i="1"/>
  <c r="CV238" i="1" s="1"/>
  <c r="AI238" i="1"/>
  <c r="CW238" i="1" s="1"/>
  <c r="V238" i="1" s="1"/>
  <c r="AJ238" i="1"/>
  <c r="CS238" i="1"/>
  <c r="R238" i="1" s="1"/>
  <c r="GK238" i="1" s="1"/>
  <c r="CX238" i="1"/>
  <c r="W238" i="1" s="1"/>
  <c r="FR238" i="1"/>
  <c r="GL238" i="1"/>
  <c r="GO238" i="1"/>
  <c r="GP238" i="1"/>
  <c r="GV238" i="1"/>
  <c r="GX238" i="1"/>
  <c r="I239" i="1"/>
  <c r="E520" i="5" s="1"/>
  <c r="AC239" i="1"/>
  <c r="AE239" i="1"/>
  <c r="AD239" i="1" s="1"/>
  <c r="AF239" i="1"/>
  <c r="AG239" i="1"/>
  <c r="CU239" i="1" s="1"/>
  <c r="T239" i="1" s="1"/>
  <c r="AH239" i="1"/>
  <c r="CV239" i="1" s="1"/>
  <c r="U239" i="1" s="1"/>
  <c r="AI239" i="1"/>
  <c r="AJ239" i="1"/>
  <c r="CX239" i="1" s="1"/>
  <c r="W239" i="1" s="1"/>
  <c r="CR239" i="1"/>
  <c r="Q239" i="1" s="1"/>
  <c r="CS239" i="1"/>
  <c r="R239" i="1" s="1"/>
  <c r="CW239" i="1"/>
  <c r="V239" i="1" s="1"/>
  <c r="FR239" i="1"/>
  <c r="GL239" i="1"/>
  <c r="GO239" i="1"/>
  <c r="GP239" i="1"/>
  <c r="GV239" i="1"/>
  <c r="GX239" i="1" s="1"/>
  <c r="C240" i="1"/>
  <c r="D240" i="1"/>
  <c r="AC240" i="1"/>
  <c r="H526" i="5" s="1"/>
  <c r="AE240" i="1"/>
  <c r="AD240" i="1" s="1"/>
  <c r="AF240" i="1"/>
  <c r="CT240" i="1" s="1"/>
  <c r="S240" i="1" s="1"/>
  <c r="K523" i="5" s="1"/>
  <c r="AG240" i="1"/>
  <c r="CU240" i="1" s="1"/>
  <c r="T240" i="1" s="1"/>
  <c r="AH240" i="1"/>
  <c r="CV240" i="1" s="1"/>
  <c r="U240" i="1" s="1"/>
  <c r="AI240" i="1"/>
  <c r="CW240" i="1" s="1"/>
  <c r="V240" i="1" s="1"/>
  <c r="AJ240" i="1"/>
  <c r="CX240" i="1"/>
  <c r="W240" i="1" s="1"/>
  <c r="FR240" i="1"/>
  <c r="GL240" i="1"/>
  <c r="GO240" i="1"/>
  <c r="GP240" i="1"/>
  <c r="GV240" i="1"/>
  <c r="GX240" i="1" s="1"/>
  <c r="I241" i="1"/>
  <c r="AC241" i="1"/>
  <c r="AE241" i="1"/>
  <c r="AD241" i="1" s="1"/>
  <c r="CR241" i="1" s="1"/>
  <c r="AF241" i="1"/>
  <c r="AG241" i="1"/>
  <c r="CU241" i="1" s="1"/>
  <c r="AH241" i="1"/>
  <c r="CV241" i="1" s="1"/>
  <c r="AI241" i="1"/>
  <c r="CW241" i="1" s="1"/>
  <c r="V241" i="1" s="1"/>
  <c r="AJ241" i="1"/>
  <c r="CS241" i="1"/>
  <c r="CX241" i="1"/>
  <c r="FR241" i="1"/>
  <c r="GL241" i="1"/>
  <c r="GO241" i="1"/>
  <c r="GP241" i="1"/>
  <c r="GV241" i="1"/>
  <c r="C242" i="1"/>
  <c r="D242" i="1"/>
  <c r="I242" i="1"/>
  <c r="I243" i="1" s="1"/>
  <c r="AC242" i="1"/>
  <c r="AE242" i="1"/>
  <c r="AD242" i="1" s="1"/>
  <c r="AF242" i="1"/>
  <c r="AG242" i="1"/>
  <c r="AH242" i="1"/>
  <c r="CV242" i="1" s="1"/>
  <c r="U242" i="1" s="1"/>
  <c r="AI242" i="1"/>
  <c r="CW242" i="1" s="1"/>
  <c r="AJ242" i="1"/>
  <c r="CQ242" i="1"/>
  <c r="P242" i="1" s="1"/>
  <c r="K537" i="5" s="1"/>
  <c r="CT242" i="1"/>
  <c r="S242" i="1" s="1"/>
  <c r="K534" i="5" s="1"/>
  <c r="CU242" i="1"/>
  <c r="CX242" i="1"/>
  <c r="W242" i="1" s="1"/>
  <c r="FR242" i="1"/>
  <c r="GL242" i="1"/>
  <c r="GO242" i="1"/>
  <c r="GP242" i="1"/>
  <c r="GV242" i="1"/>
  <c r="GX242" i="1" s="1"/>
  <c r="AC243" i="1"/>
  <c r="AD243" i="1"/>
  <c r="CR243" i="1" s="1"/>
  <c r="AE243" i="1"/>
  <c r="AF243" i="1"/>
  <c r="AG243" i="1"/>
  <c r="CU243" i="1" s="1"/>
  <c r="AH243" i="1"/>
  <c r="CV243" i="1" s="1"/>
  <c r="AI243" i="1"/>
  <c r="AJ243" i="1"/>
  <c r="CX243" i="1" s="1"/>
  <c r="W243" i="1" s="1"/>
  <c r="CS243" i="1"/>
  <c r="CW243" i="1"/>
  <c r="FR243" i="1"/>
  <c r="GL243" i="1"/>
  <c r="GO243" i="1"/>
  <c r="GP243" i="1"/>
  <c r="GV243" i="1"/>
  <c r="GX243" i="1" s="1"/>
  <c r="I244" i="1"/>
  <c r="E542" i="5" s="1"/>
  <c r="AC244" i="1"/>
  <c r="AE244" i="1"/>
  <c r="AD244" i="1" s="1"/>
  <c r="AB244" i="1" s="1"/>
  <c r="AF244" i="1"/>
  <c r="AG244" i="1"/>
  <c r="CU244" i="1" s="1"/>
  <c r="T244" i="1" s="1"/>
  <c r="AH244" i="1"/>
  <c r="AI244" i="1"/>
  <c r="CW244" i="1" s="1"/>
  <c r="V244" i="1" s="1"/>
  <c r="AJ244" i="1"/>
  <c r="CR244" i="1"/>
  <c r="Q244" i="1" s="1"/>
  <c r="CV244" i="1"/>
  <c r="CX244" i="1"/>
  <c r="W244" i="1" s="1"/>
  <c r="FR244" i="1"/>
  <c r="GL244" i="1"/>
  <c r="GO244" i="1"/>
  <c r="GP244" i="1"/>
  <c r="GV244" i="1"/>
  <c r="C245" i="1"/>
  <c r="D245" i="1"/>
  <c r="I245" i="1"/>
  <c r="AC245" i="1"/>
  <c r="AD245" i="1"/>
  <c r="CR245" i="1" s="1"/>
  <c r="AE245" i="1"/>
  <c r="AF245" i="1"/>
  <c r="CT245" i="1" s="1"/>
  <c r="S245" i="1" s="1"/>
  <c r="K546" i="5" s="1"/>
  <c r="AG245" i="1"/>
  <c r="AH245" i="1"/>
  <c r="CV245" i="1" s="1"/>
  <c r="AI245" i="1"/>
  <c r="AJ245" i="1"/>
  <c r="CX245" i="1" s="1"/>
  <c r="W245" i="1" s="1"/>
  <c r="CQ245" i="1"/>
  <c r="CS245" i="1"/>
  <c r="R245" i="1" s="1"/>
  <c r="GK245" i="1" s="1"/>
  <c r="CU245" i="1"/>
  <c r="CW245" i="1"/>
  <c r="FR245" i="1"/>
  <c r="GL245" i="1"/>
  <c r="GO245" i="1"/>
  <c r="GP245" i="1"/>
  <c r="GV245" i="1"/>
  <c r="AC246" i="1"/>
  <c r="AE246" i="1"/>
  <c r="AD246" i="1" s="1"/>
  <c r="AF246" i="1"/>
  <c r="CT246" i="1" s="1"/>
  <c r="AG246" i="1"/>
  <c r="CU246" i="1" s="1"/>
  <c r="AH246" i="1"/>
  <c r="AI246" i="1"/>
  <c r="CW246" i="1" s="1"/>
  <c r="AJ246" i="1"/>
  <c r="CX246" i="1" s="1"/>
  <c r="CR246" i="1"/>
  <c r="CV246" i="1"/>
  <c r="FR246" i="1"/>
  <c r="GL246" i="1"/>
  <c r="GO246" i="1"/>
  <c r="GP246" i="1"/>
  <c r="GV246" i="1"/>
  <c r="AC247" i="1"/>
  <c r="AE247" i="1"/>
  <c r="AD247" i="1" s="1"/>
  <c r="AF247" i="1"/>
  <c r="AG247" i="1"/>
  <c r="CU247" i="1" s="1"/>
  <c r="AH247" i="1"/>
  <c r="CV247" i="1" s="1"/>
  <c r="AI247" i="1"/>
  <c r="CW247" i="1" s="1"/>
  <c r="AJ247" i="1"/>
  <c r="CX247" i="1" s="1"/>
  <c r="CQ247" i="1"/>
  <c r="FR247" i="1"/>
  <c r="GL247" i="1"/>
  <c r="GO247" i="1"/>
  <c r="GP247" i="1"/>
  <c r="GV247" i="1"/>
  <c r="AC248" i="1"/>
  <c r="AE248" i="1"/>
  <c r="CS248" i="1" s="1"/>
  <c r="AF248" i="1"/>
  <c r="AG248" i="1"/>
  <c r="AH248" i="1"/>
  <c r="CV248" i="1" s="1"/>
  <c r="AI248" i="1"/>
  <c r="CW248" i="1" s="1"/>
  <c r="AJ248" i="1"/>
  <c r="CQ248" i="1"/>
  <c r="CT248" i="1"/>
  <c r="CU248" i="1"/>
  <c r="CX248" i="1"/>
  <c r="FR248" i="1"/>
  <c r="GL248" i="1"/>
  <c r="GO248" i="1"/>
  <c r="GP248" i="1"/>
  <c r="GV248" i="1"/>
  <c r="AC249" i="1"/>
  <c r="AE249" i="1"/>
  <c r="AF249" i="1"/>
  <c r="AG249" i="1"/>
  <c r="AH249" i="1"/>
  <c r="AI249" i="1"/>
  <c r="CW249" i="1" s="1"/>
  <c r="AJ249" i="1"/>
  <c r="CQ249" i="1"/>
  <c r="CT249" i="1"/>
  <c r="CU249" i="1"/>
  <c r="CV249" i="1"/>
  <c r="CX249" i="1"/>
  <c r="FR249" i="1"/>
  <c r="GL249" i="1"/>
  <c r="GO249" i="1"/>
  <c r="GP249" i="1"/>
  <c r="GV249" i="1"/>
  <c r="AC250" i="1"/>
  <c r="CQ250" i="1" s="1"/>
  <c r="AE250" i="1"/>
  <c r="AD250" i="1" s="1"/>
  <c r="CR250" i="1" s="1"/>
  <c r="AF250" i="1"/>
  <c r="AG250" i="1"/>
  <c r="CU250" i="1" s="1"/>
  <c r="AH250" i="1"/>
  <c r="CV250" i="1" s="1"/>
  <c r="AI250" i="1"/>
  <c r="AJ250" i="1"/>
  <c r="CT250" i="1"/>
  <c r="CW250" i="1"/>
  <c r="CX250" i="1"/>
  <c r="FR250" i="1"/>
  <c r="GL250" i="1"/>
  <c r="GO250" i="1"/>
  <c r="GP250" i="1"/>
  <c r="GV250" i="1"/>
  <c r="AC251" i="1"/>
  <c r="AE251" i="1"/>
  <c r="AD251" i="1" s="1"/>
  <c r="CR251" i="1" s="1"/>
  <c r="AF251" i="1"/>
  <c r="AG251" i="1"/>
  <c r="CU251" i="1" s="1"/>
  <c r="AH251" i="1"/>
  <c r="CV251" i="1" s="1"/>
  <c r="AI251" i="1"/>
  <c r="CW251" i="1" s="1"/>
  <c r="AJ251" i="1"/>
  <c r="CS251" i="1"/>
  <c r="CT251" i="1"/>
  <c r="CX251" i="1"/>
  <c r="FR251" i="1"/>
  <c r="GL251" i="1"/>
  <c r="GO251" i="1"/>
  <c r="GP251" i="1"/>
  <c r="GV251" i="1"/>
  <c r="I252" i="1"/>
  <c r="AC252" i="1"/>
  <c r="CQ252" i="1" s="1"/>
  <c r="AE252" i="1"/>
  <c r="AD252" i="1" s="1"/>
  <c r="CR252" i="1" s="1"/>
  <c r="AF252" i="1"/>
  <c r="AG252" i="1"/>
  <c r="CU252" i="1" s="1"/>
  <c r="AH252" i="1"/>
  <c r="AI252" i="1"/>
  <c r="CW252" i="1" s="1"/>
  <c r="AJ252" i="1"/>
  <c r="CX252" i="1" s="1"/>
  <c r="CS252" i="1"/>
  <c r="R252" i="1" s="1"/>
  <c r="GK252" i="1" s="1"/>
  <c r="CV252" i="1"/>
  <c r="FR252" i="1"/>
  <c r="GL252" i="1"/>
  <c r="GO252" i="1"/>
  <c r="GP252" i="1"/>
  <c r="GV252" i="1"/>
  <c r="C253" i="1"/>
  <c r="D253" i="1"/>
  <c r="AC253" i="1"/>
  <c r="H562" i="5" s="1"/>
  <c r="AD253" i="1"/>
  <c r="AE253" i="1"/>
  <c r="AF253" i="1"/>
  <c r="CT253" i="1" s="1"/>
  <c r="S253" i="1" s="1"/>
  <c r="K560" i="5" s="1"/>
  <c r="AG253" i="1"/>
  <c r="AH253" i="1"/>
  <c r="CV253" i="1" s="1"/>
  <c r="U253" i="1" s="1"/>
  <c r="AI253" i="1"/>
  <c r="AJ253" i="1"/>
  <c r="CX253" i="1" s="1"/>
  <c r="W253" i="1" s="1"/>
  <c r="CQ253" i="1"/>
  <c r="P253" i="1" s="1"/>
  <c r="K562" i="5" s="1"/>
  <c r="CS253" i="1"/>
  <c r="R253" i="1" s="1"/>
  <c r="GK253" i="1" s="1"/>
  <c r="CU253" i="1"/>
  <c r="T253" i="1" s="1"/>
  <c r="CW253" i="1"/>
  <c r="V253" i="1" s="1"/>
  <c r="FR253" i="1"/>
  <c r="GL253" i="1"/>
  <c r="GN253" i="1"/>
  <c r="GP253" i="1"/>
  <c r="GV253" i="1"/>
  <c r="GX253" i="1" s="1"/>
  <c r="I254" i="1"/>
  <c r="E566" i="5" s="1"/>
  <c r="AC254" i="1"/>
  <c r="AE254" i="1"/>
  <c r="AD254" i="1" s="1"/>
  <c r="CR254" i="1" s="1"/>
  <c r="Q254" i="1" s="1"/>
  <c r="AF254" i="1"/>
  <c r="AG254" i="1"/>
  <c r="CU254" i="1" s="1"/>
  <c r="T254" i="1" s="1"/>
  <c r="AH254" i="1"/>
  <c r="CV254" i="1" s="1"/>
  <c r="AI254" i="1"/>
  <c r="AJ254" i="1"/>
  <c r="CX254" i="1" s="1"/>
  <c r="CS254" i="1"/>
  <c r="R254" i="1" s="1"/>
  <c r="GK254" i="1" s="1"/>
  <c r="CT254" i="1"/>
  <c r="CW254" i="1"/>
  <c r="V254" i="1" s="1"/>
  <c r="FR254" i="1"/>
  <c r="GL254" i="1"/>
  <c r="GN254" i="1"/>
  <c r="GP254" i="1"/>
  <c r="GV254" i="1"/>
  <c r="C255" i="1"/>
  <c r="D255" i="1"/>
  <c r="I255" i="1"/>
  <c r="I256" i="1" s="1"/>
  <c r="E577" i="5" s="1"/>
  <c r="AC255" i="1"/>
  <c r="AD255" i="1"/>
  <c r="AE255" i="1"/>
  <c r="AF255" i="1"/>
  <c r="CT255" i="1" s="1"/>
  <c r="S255" i="1" s="1"/>
  <c r="K570" i="5" s="1"/>
  <c r="AG255" i="1"/>
  <c r="AH255" i="1"/>
  <c r="CV255" i="1" s="1"/>
  <c r="U255" i="1" s="1"/>
  <c r="AI255" i="1"/>
  <c r="AJ255" i="1"/>
  <c r="CX255" i="1" s="1"/>
  <c r="W255" i="1" s="1"/>
  <c r="CQ255" i="1"/>
  <c r="CS255" i="1"/>
  <c r="R255" i="1" s="1"/>
  <c r="CU255" i="1"/>
  <c r="CW255" i="1"/>
  <c r="FR255" i="1"/>
  <c r="GL255" i="1"/>
  <c r="GO255" i="1"/>
  <c r="GP255" i="1"/>
  <c r="GV255" i="1"/>
  <c r="GX255" i="1" s="1"/>
  <c r="AC256" i="1"/>
  <c r="AE256" i="1"/>
  <c r="AD256" i="1" s="1"/>
  <c r="CR256" i="1" s="1"/>
  <c r="AF256" i="1"/>
  <c r="AG256" i="1"/>
  <c r="CU256" i="1" s="1"/>
  <c r="AH256" i="1"/>
  <c r="CV256" i="1" s="1"/>
  <c r="U256" i="1" s="1"/>
  <c r="AI256" i="1"/>
  <c r="AJ256" i="1"/>
  <c r="CX256" i="1" s="1"/>
  <c r="W256" i="1" s="1"/>
  <c r="CS256" i="1"/>
  <c r="CT256" i="1"/>
  <c r="CW256" i="1"/>
  <c r="FR256" i="1"/>
  <c r="GL256" i="1"/>
  <c r="GO256" i="1"/>
  <c r="GP256" i="1"/>
  <c r="GV256" i="1"/>
  <c r="GX256" i="1" s="1"/>
  <c r="AC257" i="1"/>
  <c r="AE257" i="1"/>
  <c r="AD257" i="1" s="1"/>
  <c r="CR257" i="1" s="1"/>
  <c r="AF257" i="1"/>
  <c r="AG257" i="1"/>
  <c r="AH257" i="1"/>
  <c r="CV257" i="1" s="1"/>
  <c r="AI257" i="1"/>
  <c r="AJ257" i="1"/>
  <c r="CX257" i="1" s="1"/>
  <c r="CS257" i="1"/>
  <c r="CU257" i="1"/>
  <c r="CW257" i="1"/>
  <c r="FR257" i="1"/>
  <c r="GL257" i="1"/>
  <c r="GO257" i="1"/>
  <c r="GP257" i="1"/>
  <c r="GV257" i="1"/>
  <c r="I258" i="1"/>
  <c r="E579" i="5" s="1"/>
  <c r="AC258" i="1"/>
  <c r="CQ258" i="1" s="1"/>
  <c r="P258" i="1" s="1"/>
  <c r="AE258" i="1"/>
  <c r="AF258" i="1"/>
  <c r="AG258" i="1"/>
  <c r="AH258" i="1"/>
  <c r="AI258" i="1"/>
  <c r="CW258" i="1" s="1"/>
  <c r="AJ258" i="1"/>
  <c r="CX258" i="1" s="1"/>
  <c r="W258" i="1" s="1"/>
  <c r="CT258" i="1"/>
  <c r="S258" i="1" s="1"/>
  <c r="CU258" i="1"/>
  <c r="CV258" i="1"/>
  <c r="U258" i="1" s="1"/>
  <c r="FR258" i="1"/>
  <c r="GL258" i="1"/>
  <c r="GO258" i="1"/>
  <c r="GP258" i="1"/>
  <c r="GV258" i="1"/>
  <c r="GX258" i="1" s="1"/>
  <c r="AC259" i="1"/>
  <c r="AE259" i="1"/>
  <c r="AD259" i="1" s="1"/>
  <c r="CR259" i="1" s="1"/>
  <c r="AF259" i="1"/>
  <c r="CT259" i="1" s="1"/>
  <c r="AG259" i="1"/>
  <c r="AH259" i="1"/>
  <c r="CV259" i="1" s="1"/>
  <c r="AI259" i="1"/>
  <c r="CW259" i="1" s="1"/>
  <c r="AJ259" i="1"/>
  <c r="CQ259" i="1"/>
  <c r="CU259" i="1"/>
  <c r="CX259" i="1"/>
  <c r="FR259" i="1"/>
  <c r="GL259" i="1"/>
  <c r="GO259" i="1"/>
  <c r="GP259" i="1"/>
  <c r="GV259" i="1"/>
  <c r="AC260" i="1"/>
  <c r="AE260" i="1"/>
  <c r="AD260" i="1" s="1"/>
  <c r="CR260" i="1" s="1"/>
  <c r="AF260" i="1"/>
  <c r="AG260" i="1"/>
  <c r="CU260" i="1" s="1"/>
  <c r="AH260" i="1"/>
  <c r="CV260" i="1" s="1"/>
  <c r="AI260" i="1"/>
  <c r="AJ260" i="1"/>
  <c r="CX260" i="1" s="1"/>
  <c r="CS260" i="1"/>
  <c r="CT260" i="1"/>
  <c r="CW260" i="1"/>
  <c r="FR260" i="1"/>
  <c r="GL260" i="1"/>
  <c r="GO260" i="1"/>
  <c r="GP260" i="1"/>
  <c r="GV260" i="1"/>
  <c r="C261" i="1"/>
  <c r="D261" i="1"/>
  <c r="I261" i="1"/>
  <c r="AC261" i="1"/>
  <c r="AE261" i="1"/>
  <c r="AD261" i="1" s="1"/>
  <c r="AF261" i="1"/>
  <c r="CT261" i="1" s="1"/>
  <c r="S261" i="1" s="1"/>
  <c r="AG261" i="1"/>
  <c r="AH261" i="1"/>
  <c r="CV261" i="1" s="1"/>
  <c r="U261" i="1" s="1"/>
  <c r="AI261" i="1"/>
  <c r="CW261" i="1" s="1"/>
  <c r="AJ261" i="1"/>
  <c r="CQ261" i="1"/>
  <c r="P261" i="1" s="1"/>
  <c r="K588" i="5" s="1"/>
  <c r="CU261" i="1"/>
  <c r="T261" i="1" s="1"/>
  <c r="CX261" i="1"/>
  <c r="W261" i="1" s="1"/>
  <c r="FR261" i="1"/>
  <c r="GL261" i="1"/>
  <c r="GO261" i="1"/>
  <c r="GP261" i="1"/>
  <c r="GV261" i="1"/>
  <c r="GX261" i="1"/>
  <c r="I262" i="1"/>
  <c r="E592" i="5" s="1"/>
  <c r="AC262" i="1"/>
  <c r="AE262" i="1"/>
  <c r="AD262" i="1" s="1"/>
  <c r="CR262" i="1" s="1"/>
  <c r="Q262" i="1" s="1"/>
  <c r="AF262" i="1"/>
  <c r="AG262" i="1"/>
  <c r="CU262" i="1" s="1"/>
  <c r="T262" i="1" s="1"/>
  <c r="AH262" i="1"/>
  <c r="CV262" i="1" s="1"/>
  <c r="U262" i="1" s="1"/>
  <c r="AI262" i="1"/>
  <c r="AJ262" i="1"/>
  <c r="CX262" i="1" s="1"/>
  <c r="W262" i="1" s="1"/>
  <c r="CS262" i="1"/>
  <c r="R262" i="1" s="1"/>
  <c r="GK262" i="1" s="1"/>
  <c r="CT262" i="1"/>
  <c r="S262" i="1" s="1"/>
  <c r="CW262" i="1"/>
  <c r="V262" i="1" s="1"/>
  <c r="FR262" i="1"/>
  <c r="GL262" i="1"/>
  <c r="GO262" i="1"/>
  <c r="GP262" i="1"/>
  <c r="GV262" i="1"/>
  <c r="GX262" i="1" s="1"/>
  <c r="I263" i="1"/>
  <c r="AC263" i="1"/>
  <c r="CQ263" i="1" s="1"/>
  <c r="AE263" i="1"/>
  <c r="AD263" i="1" s="1"/>
  <c r="CR263" i="1" s="1"/>
  <c r="AF263" i="1"/>
  <c r="AG263" i="1"/>
  <c r="AH263" i="1"/>
  <c r="CV263" i="1" s="1"/>
  <c r="AI263" i="1"/>
  <c r="AJ263" i="1"/>
  <c r="CX263" i="1" s="1"/>
  <c r="CS263" i="1"/>
  <c r="R263" i="1" s="1"/>
  <c r="GK263" i="1" s="1"/>
  <c r="CU263" i="1"/>
  <c r="CW263" i="1"/>
  <c r="FR263" i="1"/>
  <c r="GL263" i="1"/>
  <c r="GO263" i="1"/>
  <c r="GP263" i="1"/>
  <c r="GV263" i="1"/>
  <c r="C264" i="1"/>
  <c r="D264" i="1"/>
  <c r="I264" i="1"/>
  <c r="AC264" i="1"/>
  <c r="AE264" i="1"/>
  <c r="AF264" i="1"/>
  <c r="AG264" i="1"/>
  <c r="CU264" i="1" s="1"/>
  <c r="T264" i="1" s="1"/>
  <c r="AH264" i="1"/>
  <c r="CV264" i="1" s="1"/>
  <c r="AI264" i="1"/>
  <c r="AJ264" i="1"/>
  <c r="CX264" i="1" s="1"/>
  <c r="CS264" i="1"/>
  <c r="R264" i="1" s="1"/>
  <c r="CT264" i="1"/>
  <c r="CW264" i="1"/>
  <c r="V264" i="1" s="1"/>
  <c r="FR264" i="1"/>
  <c r="GL264" i="1"/>
  <c r="GO264" i="1"/>
  <c r="GP264" i="1"/>
  <c r="GV264" i="1"/>
  <c r="I265" i="1"/>
  <c r="AC265" i="1"/>
  <c r="AE265" i="1"/>
  <c r="AD265" i="1" s="1"/>
  <c r="CR265" i="1" s="1"/>
  <c r="AF265" i="1"/>
  <c r="AG265" i="1"/>
  <c r="CU265" i="1" s="1"/>
  <c r="AH265" i="1"/>
  <c r="AI265" i="1"/>
  <c r="CW265" i="1" s="1"/>
  <c r="AJ265" i="1"/>
  <c r="CX265" i="1" s="1"/>
  <c r="CS265" i="1"/>
  <c r="R265" i="1" s="1"/>
  <c r="GK265" i="1" s="1"/>
  <c r="CV265" i="1"/>
  <c r="FR265" i="1"/>
  <c r="GL265" i="1"/>
  <c r="GO265" i="1"/>
  <c r="GP265" i="1"/>
  <c r="GV265" i="1"/>
  <c r="AC266" i="1"/>
  <c r="CQ266" i="1" s="1"/>
  <c r="AE266" i="1"/>
  <c r="AF266" i="1"/>
  <c r="AG266" i="1"/>
  <c r="CU266" i="1" s="1"/>
  <c r="AH266" i="1"/>
  <c r="AI266" i="1"/>
  <c r="CW266" i="1" s="1"/>
  <c r="AJ266" i="1"/>
  <c r="CX266" i="1" s="1"/>
  <c r="CT266" i="1"/>
  <c r="CV266" i="1"/>
  <c r="FR266" i="1"/>
  <c r="GL266" i="1"/>
  <c r="GO266" i="1"/>
  <c r="GP266" i="1"/>
  <c r="GV266" i="1"/>
  <c r="AC267" i="1"/>
  <c r="AE267" i="1"/>
  <c r="AD267" i="1" s="1"/>
  <c r="CR267" i="1" s="1"/>
  <c r="AF267" i="1"/>
  <c r="CT267" i="1" s="1"/>
  <c r="AG267" i="1"/>
  <c r="AH267" i="1"/>
  <c r="CV267" i="1" s="1"/>
  <c r="AI267" i="1"/>
  <c r="CW267" i="1" s="1"/>
  <c r="AJ267" i="1"/>
  <c r="CQ267" i="1"/>
  <c r="CU267" i="1"/>
  <c r="CX267" i="1"/>
  <c r="FR267" i="1"/>
  <c r="GL267" i="1"/>
  <c r="GO267" i="1"/>
  <c r="GP267" i="1"/>
  <c r="GV267" i="1"/>
  <c r="I268" i="1"/>
  <c r="E607" i="5" s="1"/>
  <c r="AC268" i="1"/>
  <c r="AE268" i="1"/>
  <c r="AD268" i="1" s="1"/>
  <c r="CR268" i="1" s="1"/>
  <c r="Q268" i="1" s="1"/>
  <c r="AF268" i="1"/>
  <c r="AG268" i="1"/>
  <c r="CU268" i="1" s="1"/>
  <c r="T268" i="1" s="1"/>
  <c r="AH268" i="1"/>
  <c r="AI268" i="1"/>
  <c r="CW268" i="1" s="1"/>
  <c r="V268" i="1" s="1"/>
  <c r="AJ268" i="1"/>
  <c r="CS268" i="1"/>
  <c r="R268" i="1" s="1"/>
  <c r="GK268" i="1" s="1"/>
  <c r="CT268" i="1"/>
  <c r="CV268" i="1"/>
  <c r="U268" i="1" s="1"/>
  <c r="CX268" i="1"/>
  <c r="FR268" i="1"/>
  <c r="GL268" i="1"/>
  <c r="GO268" i="1"/>
  <c r="GP268" i="1"/>
  <c r="GV268" i="1"/>
  <c r="I269" i="1"/>
  <c r="E608" i="5" s="1"/>
  <c r="AC269" i="1"/>
  <c r="AE269" i="1"/>
  <c r="AD269" i="1" s="1"/>
  <c r="CR269" i="1" s="1"/>
  <c r="AF269" i="1"/>
  <c r="AG269" i="1"/>
  <c r="CU269" i="1" s="1"/>
  <c r="AH269" i="1"/>
  <c r="AI269" i="1"/>
  <c r="CW269" i="1" s="1"/>
  <c r="AJ269" i="1"/>
  <c r="CX269" i="1" s="1"/>
  <c r="CS269" i="1"/>
  <c r="R269" i="1" s="1"/>
  <c r="GK269" i="1" s="1"/>
  <c r="CV269" i="1"/>
  <c r="U269" i="1" s="1"/>
  <c r="FR269" i="1"/>
  <c r="GL269" i="1"/>
  <c r="GO269" i="1"/>
  <c r="GP269" i="1"/>
  <c r="GV269" i="1"/>
  <c r="GX269" i="1" s="1"/>
  <c r="AC270" i="1"/>
  <c r="CQ270" i="1" s="1"/>
  <c r="AE270" i="1"/>
  <c r="AF270" i="1"/>
  <c r="AG270" i="1"/>
  <c r="CU270" i="1" s="1"/>
  <c r="AH270" i="1"/>
  <c r="AI270" i="1"/>
  <c r="CW270" i="1" s="1"/>
  <c r="AJ270" i="1"/>
  <c r="CX270" i="1" s="1"/>
  <c r="CT270" i="1"/>
  <c r="CV270" i="1"/>
  <c r="FR270" i="1"/>
  <c r="GL270" i="1"/>
  <c r="GO270" i="1"/>
  <c r="GP270" i="1"/>
  <c r="GV270" i="1"/>
  <c r="B272" i="1"/>
  <c r="B230" i="1" s="1"/>
  <c r="C272" i="1"/>
  <c r="C230" i="1" s="1"/>
  <c r="D272" i="1"/>
  <c r="D230" i="1" s="1"/>
  <c r="F272" i="1"/>
  <c r="F230" i="1" s="1"/>
  <c r="G272" i="1"/>
  <c r="BX272" i="1"/>
  <c r="CK272" i="1"/>
  <c r="CK230" i="1" s="1"/>
  <c r="CL272" i="1"/>
  <c r="CL230" i="1" s="1"/>
  <c r="D301" i="1"/>
  <c r="E303" i="1"/>
  <c r="Z303" i="1"/>
  <c r="AA303" i="1"/>
  <c r="AM303" i="1"/>
  <c r="AN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BQ303" i="1"/>
  <c r="BR303" i="1"/>
  <c r="BS303" i="1"/>
  <c r="BT303" i="1"/>
  <c r="BU303" i="1"/>
  <c r="BV303" i="1"/>
  <c r="BW303" i="1"/>
  <c r="CM303" i="1"/>
  <c r="CN303" i="1"/>
  <c r="CO303" i="1"/>
  <c r="CP303" i="1"/>
  <c r="CQ303" i="1"/>
  <c r="CR303" i="1"/>
  <c r="CS303" i="1"/>
  <c r="CT303" i="1"/>
  <c r="CU303" i="1"/>
  <c r="CV303" i="1"/>
  <c r="CW303" i="1"/>
  <c r="CX303" i="1"/>
  <c r="CY303" i="1"/>
  <c r="CZ303" i="1"/>
  <c r="DA303" i="1"/>
  <c r="DB303" i="1"/>
  <c r="DC303" i="1"/>
  <c r="DD303" i="1"/>
  <c r="DE303" i="1"/>
  <c r="DF303" i="1"/>
  <c r="DG303" i="1"/>
  <c r="DH303" i="1"/>
  <c r="DI303" i="1"/>
  <c r="DJ303" i="1"/>
  <c r="DK303" i="1"/>
  <c r="DL303" i="1"/>
  <c r="DM303" i="1"/>
  <c r="DN303" i="1"/>
  <c r="DO303" i="1"/>
  <c r="DP303" i="1"/>
  <c r="DQ303" i="1"/>
  <c r="DR303" i="1"/>
  <c r="DS303" i="1"/>
  <c r="DT303" i="1"/>
  <c r="DU303" i="1"/>
  <c r="DV303" i="1"/>
  <c r="DW303" i="1"/>
  <c r="DX303" i="1"/>
  <c r="DY303" i="1"/>
  <c r="DZ303" i="1"/>
  <c r="EA303" i="1"/>
  <c r="EB303" i="1"/>
  <c r="EC303" i="1"/>
  <c r="ED303" i="1"/>
  <c r="EE303" i="1"/>
  <c r="EF303" i="1"/>
  <c r="EG303" i="1"/>
  <c r="EH303" i="1"/>
  <c r="EI303" i="1"/>
  <c r="EJ303" i="1"/>
  <c r="EK303" i="1"/>
  <c r="EL303" i="1"/>
  <c r="EM303" i="1"/>
  <c r="EN303" i="1"/>
  <c r="EO303" i="1"/>
  <c r="EP303" i="1"/>
  <c r="EQ303" i="1"/>
  <c r="ER303" i="1"/>
  <c r="ES303" i="1"/>
  <c r="ET303" i="1"/>
  <c r="EU303" i="1"/>
  <c r="EV303" i="1"/>
  <c r="EW303" i="1"/>
  <c r="EX303" i="1"/>
  <c r="EY303" i="1"/>
  <c r="EZ303" i="1"/>
  <c r="FA303" i="1"/>
  <c r="FB303" i="1"/>
  <c r="FC303" i="1"/>
  <c r="FD303" i="1"/>
  <c r="FE303" i="1"/>
  <c r="FF303" i="1"/>
  <c r="FG303" i="1"/>
  <c r="FH303" i="1"/>
  <c r="FI303" i="1"/>
  <c r="FJ303" i="1"/>
  <c r="FK303" i="1"/>
  <c r="FL303" i="1"/>
  <c r="FM303" i="1"/>
  <c r="FN303" i="1"/>
  <c r="FO303" i="1"/>
  <c r="FP303" i="1"/>
  <c r="FQ303" i="1"/>
  <c r="FR303" i="1"/>
  <c r="FS303" i="1"/>
  <c r="FT303" i="1"/>
  <c r="FU303" i="1"/>
  <c r="FV303" i="1"/>
  <c r="FW303" i="1"/>
  <c r="FX303" i="1"/>
  <c r="FY303" i="1"/>
  <c r="FZ303" i="1"/>
  <c r="GA303" i="1"/>
  <c r="GB303" i="1"/>
  <c r="GC303" i="1"/>
  <c r="GD303" i="1"/>
  <c r="GE303" i="1"/>
  <c r="GF303" i="1"/>
  <c r="GG303" i="1"/>
  <c r="GH303" i="1"/>
  <c r="GI303" i="1"/>
  <c r="GJ303" i="1"/>
  <c r="GK303" i="1"/>
  <c r="GL303" i="1"/>
  <c r="GM303" i="1"/>
  <c r="GN303" i="1"/>
  <c r="GO303" i="1"/>
  <c r="GP303" i="1"/>
  <c r="GQ303" i="1"/>
  <c r="GR303" i="1"/>
  <c r="GS303" i="1"/>
  <c r="GT303" i="1"/>
  <c r="GU303" i="1"/>
  <c r="GV303" i="1"/>
  <c r="GW303" i="1"/>
  <c r="GX303" i="1"/>
  <c r="C305" i="1"/>
  <c r="D305" i="1"/>
  <c r="AC305" i="1"/>
  <c r="H617" i="5" s="1"/>
  <c r="AE305" i="1"/>
  <c r="H616" i="5" s="1"/>
  <c r="R616" i="5" s="1"/>
  <c r="AF305" i="1"/>
  <c r="AG305" i="1"/>
  <c r="AH305" i="1"/>
  <c r="AI305" i="1"/>
  <c r="CW305" i="1" s="1"/>
  <c r="V305" i="1" s="1"/>
  <c r="AJ305" i="1"/>
  <c r="CQ305" i="1"/>
  <c r="P305" i="1" s="1"/>
  <c r="K617" i="5" s="1"/>
  <c r="CT305" i="1"/>
  <c r="S305" i="1" s="1"/>
  <c r="K614" i="5" s="1"/>
  <c r="CU305" i="1"/>
  <c r="T305" i="1" s="1"/>
  <c r="CV305" i="1"/>
  <c r="U305" i="1" s="1"/>
  <c r="CX305" i="1"/>
  <c r="W305" i="1" s="1"/>
  <c r="FR305" i="1"/>
  <c r="GL305" i="1"/>
  <c r="GO305" i="1"/>
  <c r="GP305" i="1"/>
  <c r="GV305" i="1"/>
  <c r="GX305" i="1" s="1"/>
  <c r="I306" i="1"/>
  <c r="E621" i="5" s="1"/>
  <c r="AC306" i="1"/>
  <c r="AE306" i="1"/>
  <c r="AD306" i="1" s="1"/>
  <c r="CR306" i="1" s="1"/>
  <c r="Q306" i="1" s="1"/>
  <c r="AF306" i="1"/>
  <c r="AG306" i="1"/>
  <c r="CU306" i="1" s="1"/>
  <c r="T306" i="1" s="1"/>
  <c r="AH306" i="1"/>
  <c r="CV306" i="1" s="1"/>
  <c r="AI306" i="1"/>
  <c r="AJ306" i="1"/>
  <c r="CQ306" i="1"/>
  <c r="P306" i="1" s="1"/>
  <c r="CT306" i="1"/>
  <c r="S306" i="1" s="1"/>
  <c r="CW306" i="1"/>
  <c r="V306" i="1" s="1"/>
  <c r="CX306" i="1"/>
  <c r="FR306" i="1"/>
  <c r="GL306" i="1"/>
  <c r="GO306" i="1"/>
  <c r="GP306" i="1"/>
  <c r="GV306" i="1"/>
  <c r="GX306" i="1" s="1"/>
  <c r="I307" i="1"/>
  <c r="E622" i="5" s="1"/>
  <c r="AC307" i="1"/>
  <c r="AE307" i="1"/>
  <c r="AD307" i="1" s="1"/>
  <c r="CR307" i="1" s="1"/>
  <c r="Q307" i="1" s="1"/>
  <c r="AF307" i="1"/>
  <c r="AG307" i="1"/>
  <c r="CU307" i="1" s="1"/>
  <c r="T307" i="1" s="1"/>
  <c r="AH307" i="1"/>
  <c r="AI307" i="1"/>
  <c r="CW307" i="1" s="1"/>
  <c r="V307" i="1" s="1"/>
  <c r="AJ307" i="1"/>
  <c r="CS307" i="1"/>
  <c r="R307" i="1" s="1"/>
  <c r="GK307" i="1" s="1"/>
  <c r="CT307" i="1"/>
  <c r="CV307" i="1"/>
  <c r="U307" i="1" s="1"/>
  <c r="CX307" i="1"/>
  <c r="FR307" i="1"/>
  <c r="GL307" i="1"/>
  <c r="GO307" i="1"/>
  <c r="GP307" i="1"/>
  <c r="GV307" i="1"/>
  <c r="GX307" i="1" s="1"/>
  <c r="C308" i="1"/>
  <c r="D308" i="1"/>
  <c r="AC308" i="1"/>
  <c r="CQ308" i="1" s="1"/>
  <c r="P308" i="1" s="1"/>
  <c r="AE308" i="1"/>
  <c r="H627" i="5" s="1"/>
  <c r="R627" i="5" s="1"/>
  <c r="AF308" i="1"/>
  <c r="AG308" i="1"/>
  <c r="AH308" i="1"/>
  <c r="AI308" i="1"/>
  <c r="CW308" i="1" s="1"/>
  <c r="V308" i="1" s="1"/>
  <c r="AJ308" i="1"/>
  <c r="CX308" i="1" s="1"/>
  <c r="W308" i="1" s="1"/>
  <c r="CT308" i="1"/>
  <c r="S308" i="1" s="1"/>
  <c r="K625" i="5" s="1"/>
  <c r="CU308" i="1"/>
  <c r="T308" i="1" s="1"/>
  <c r="CV308" i="1"/>
  <c r="U308" i="1" s="1"/>
  <c r="FR308" i="1"/>
  <c r="GL308" i="1"/>
  <c r="GO308" i="1"/>
  <c r="GP308" i="1"/>
  <c r="GV308" i="1"/>
  <c r="GX308" i="1" s="1"/>
  <c r="I309" i="1"/>
  <c r="E631" i="5" s="1"/>
  <c r="AC309" i="1"/>
  <c r="AE309" i="1"/>
  <c r="AD309" i="1" s="1"/>
  <c r="CR309" i="1" s="1"/>
  <c r="Q309" i="1" s="1"/>
  <c r="AF309" i="1"/>
  <c r="AG309" i="1"/>
  <c r="CU309" i="1" s="1"/>
  <c r="T309" i="1" s="1"/>
  <c r="AH309" i="1"/>
  <c r="CV309" i="1" s="1"/>
  <c r="U309" i="1" s="1"/>
  <c r="AI309" i="1"/>
  <c r="AJ309" i="1"/>
  <c r="CQ309" i="1"/>
  <c r="P309" i="1" s="1"/>
  <c r="CT309" i="1"/>
  <c r="S309" i="1" s="1"/>
  <c r="CW309" i="1"/>
  <c r="V309" i="1" s="1"/>
  <c r="CX309" i="1"/>
  <c r="W309" i="1" s="1"/>
  <c r="FR309" i="1"/>
  <c r="GL309" i="1"/>
  <c r="GO309" i="1"/>
  <c r="GP309" i="1"/>
  <c r="GV309" i="1"/>
  <c r="GX309" i="1" s="1"/>
  <c r="I310" i="1"/>
  <c r="E632" i="5" s="1"/>
  <c r="AC310" i="1"/>
  <c r="AE310" i="1"/>
  <c r="AD310" i="1" s="1"/>
  <c r="CR310" i="1" s="1"/>
  <c r="Q310" i="1" s="1"/>
  <c r="AF310" i="1"/>
  <c r="AG310" i="1"/>
  <c r="CU310" i="1" s="1"/>
  <c r="T310" i="1" s="1"/>
  <c r="AH310" i="1"/>
  <c r="AI310" i="1"/>
  <c r="CW310" i="1" s="1"/>
  <c r="V310" i="1" s="1"/>
  <c r="AJ310" i="1"/>
  <c r="CS310" i="1"/>
  <c r="R310" i="1" s="1"/>
  <c r="CT310" i="1"/>
  <c r="CV310" i="1"/>
  <c r="U310" i="1" s="1"/>
  <c r="CX310" i="1"/>
  <c r="W310" i="1" s="1"/>
  <c r="FR310" i="1"/>
  <c r="GK310" i="1"/>
  <c r="GL310" i="1"/>
  <c r="GO310" i="1"/>
  <c r="GP310" i="1"/>
  <c r="GV310" i="1"/>
  <c r="GX310" i="1" s="1"/>
  <c r="I311" i="1"/>
  <c r="E633" i="5" s="1"/>
  <c r="AC311" i="1"/>
  <c r="AE311" i="1"/>
  <c r="AD311" i="1" s="1"/>
  <c r="CR311" i="1" s="1"/>
  <c r="Q311" i="1" s="1"/>
  <c r="AF311" i="1"/>
  <c r="AG311" i="1"/>
  <c r="AH311" i="1"/>
  <c r="AI311" i="1"/>
  <c r="AJ311" i="1"/>
  <c r="CX311" i="1" s="1"/>
  <c r="CQ311" i="1"/>
  <c r="P311" i="1" s="1"/>
  <c r="CU311" i="1"/>
  <c r="T311" i="1" s="1"/>
  <c r="CV311" i="1"/>
  <c r="CW311" i="1"/>
  <c r="V311" i="1" s="1"/>
  <c r="FR311" i="1"/>
  <c r="GL311" i="1"/>
  <c r="GO311" i="1"/>
  <c r="GP311" i="1"/>
  <c r="GV311" i="1"/>
  <c r="B313" i="1"/>
  <c r="B303" i="1" s="1"/>
  <c r="C313" i="1"/>
  <c r="C303" i="1" s="1"/>
  <c r="D313" i="1"/>
  <c r="D303" i="1" s="1"/>
  <c r="F313" i="1"/>
  <c r="F303" i="1" s="1"/>
  <c r="G313" i="1"/>
  <c r="BX313" i="1"/>
  <c r="BX303" i="1" s="1"/>
  <c r="BY313" i="1"/>
  <c r="CK313" i="1"/>
  <c r="CL313" i="1"/>
  <c r="BC313" i="1" s="1"/>
  <c r="BC303" i="1" s="1"/>
  <c r="D342" i="1"/>
  <c r="E344" i="1"/>
  <c r="Z344" i="1"/>
  <c r="AA344" i="1"/>
  <c r="AM344" i="1"/>
  <c r="AN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CM344" i="1"/>
  <c r="CN344" i="1"/>
  <c r="CO344" i="1"/>
  <c r="CP344" i="1"/>
  <c r="CQ344" i="1"/>
  <c r="CR344" i="1"/>
  <c r="CS344" i="1"/>
  <c r="CT344" i="1"/>
  <c r="CU344" i="1"/>
  <c r="CV344" i="1"/>
  <c r="CW344" i="1"/>
  <c r="CX344" i="1"/>
  <c r="CY344" i="1"/>
  <c r="CZ344" i="1"/>
  <c r="DA344" i="1"/>
  <c r="DB344" i="1"/>
  <c r="DC344" i="1"/>
  <c r="DD344" i="1"/>
  <c r="DE344" i="1"/>
  <c r="DF344" i="1"/>
  <c r="DG344" i="1"/>
  <c r="DH344" i="1"/>
  <c r="DI344" i="1"/>
  <c r="DJ344" i="1"/>
  <c r="DK344" i="1"/>
  <c r="DL344" i="1"/>
  <c r="DM344" i="1"/>
  <c r="DN344" i="1"/>
  <c r="DO344" i="1"/>
  <c r="DP344" i="1"/>
  <c r="DQ344" i="1"/>
  <c r="DR344" i="1"/>
  <c r="DS344" i="1"/>
  <c r="DT344" i="1"/>
  <c r="DU344" i="1"/>
  <c r="DV344" i="1"/>
  <c r="DW344" i="1"/>
  <c r="DX344" i="1"/>
  <c r="DY344" i="1"/>
  <c r="DZ344" i="1"/>
  <c r="EA344" i="1"/>
  <c r="EB344" i="1"/>
  <c r="EC344" i="1"/>
  <c r="ED344" i="1"/>
  <c r="EE344" i="1"/>
  <c r="EF344" i="1"/>
  <c r="EG344" i="1"/>
  <c r="EH344" i="1"/>
  <c r="EI344" i="1"/>
  <c r="EJ344" i="1"/>
  <c r="EK344" i="1"/>
  <c r="EL344" i="1"/>
  <c r="EM344" i="1"/>
  <c r="EN344" i="1"/>
  <c r="EO344" i="1"/>
  <c r="EP344" i="1"/>
  <c r="EQ344" i="1"/>
  <c r="ER344" i="1"/>
  <c r="ES344" i="1"/>
  <c r="ET344" i="1"/>
  <c r="EU344" i="1"/>
  <c r="EV344" i="1"/>
  <c r="EW344" i="1"/>
  <c r="EX344" i="1"/>
  <c r="EY344" i="1"/>
  <c r="EZ344" i="1"/>
  <c r="FA344" i="1"/>
  <c r="FB344" i="1"/>
  <c r="FC344" i="1"/>
  <c r="FD344" i="1"/>
  <c r="FE344" i="1"/>
  <c r="FF344" i="1"/>
  <c r="FG344" i="1"/>
  <c r="FH344" i="1"/>
  <c r="FI344" i="1"/>
  <c r="FJ344" i="1"/>
  <c r="FK344" i="1"/>
  <c r="FL344" i="1"/>
  <c r="FM344" i="1"/>
  <c r="FN344" i="1"/>
  <c r="FO344" i="1"/>
  <c r="FP344" i="1"/>
  <c r="FQ344" i="1"/>
  <c r="FR344" i="1"/>
  <c r="FS344" i="1"/>
  <c r="FT344" i="1"/>
  <c r="FU344" i="1"/>
  <c r="FV344" i="1"/>
  <c r="FW344" i="1"/>
  <c r="FX344" i="1"/>
  <c r="FY344" i="1"/>
  <c r="FZ344" i="1"/>
  <c r="GA344" i="1"/>
  <c r="GB344" i="1"/>
  <c r="GC344" i="1"/>
  <c r="GD344" i="1"/>
  <c r="GE344" i="1"/>
  <c r="GF344" i="1"/>
  <c r="GG344" i="1"/>
  <c r="GH344" i="1"/>
  <c r="GI344" i="1"/>
  <c r="GJ344" i="1"/>
  <c r="GK344" i="1"/>
  <c r="GL344" i="1"/>
  <c r="GM344" i="1"/>
  <c r="GN344" i="1"/>
  <c r="GO344" i="1"/>
  <c r="GP344" i="1"/>
  <c r="GQ344" i="1"/>
  <c r="GR344" i="1"/>
  <c r="GS344" i="1"/>
  <c r="GT344" i="1"/>
  <c r="GU344" i="1"/>
  <c r="GV344" i="1"/>
  <c r="GW344" i="1"/>
  <c r="GX344" i="1"/>
  <c r="C346" i="1"/>
  <c r="D346" i="1"/>
  <c r="I346" i="1"/>
  <c r="AC346" i="1"/>
  <c r="AE346" i="1"/>
  <c r="H641" i="5" s="1"/>
  <c r="R641" i="5" s="1"/>
  <c r="AF346" i="1"/>
  <c r="AG346" i="1"/>
  <c r="CU346" i="1" s="1"/>
  <c r="T346" i="1" s="1"/>
  <c r="AH346" i="1"/>
  <c r="AI346" i="1"/>
  <c r="CW346" i="1" s="1"/>
  <c r="V346" i="1" s="1"/>
  <c r="AJ346" i="1"/>
  <c r="CX346" i="1" s="1"/>
  <c r="CQ346" i="1"/>
  <c r="P346" i="1" s="1"/>
  <c r="CV346" i="1"/>
  <c r="FR346" i="1"/>
  <c r="GL346" i="1"/>
  <c r="GO346" i="1"/>
  <c r="GP346" i="1"/>
  <c r="GV346" i="1"/>
  <c r="GX346" i="1" s="1"/>
  <c r="C347" i="1"/>
  <c r="D347" i="1"/>
  <c r="I347" i="1"/>
  <c r="AC347" i="1"/>
  <c r="CQ347" i="1" s="1"/>
  <c r="AE347" i="1"/>
  <c r="AF347" i="1"/>
  <c r="AG347" i="1"/>
  <c r="CU347" i="1" s="1"/>
  <c r="AH347" i="1"/>
  <c r="AI347" i="1"/>
  <c r="AJ347" i="1"/>
  <c r="CX347" i="1" s="1"/>
  <c r="CS347" i="1"/>
  <c r="R347" i="1" s="1"/>
  <c r="CV347" i="1"/>
  <c r="CW347" i="1"/>
  <c r="V347" i="1" s="1"/>
  <c r="FR347" i="1"/>
  <c r="GL347" i="1"/>
  <c r="GO347" i="1"/>
  <c r="GP347" i="1"/>
  <c r="GV347" i="1"/>
  <c r="GX347" i="1" s="1"/>
  <c r="C348" i="1"/>
  <c r="D348" i="1"/>
  <c r="I348" i="1"/>
  <c r="AC348" i="1"/>
  <c r="AE348" i="1"/>
  <c r="AF348" i="1"/>
  <c r="AG348" i="1"/>
  <c r="CU348" i="1" s="1"/>
  <c r="T348" i="1" s="1"/>
  <c r="AH348" i="1"/>
  <c r="CV348" i="1" s="1"/>
  <c r="U348" i="1" s="1"/>
  <c r="AI348" i="1"/>
  <c r="AJ348" i="1"/>
  <c r="CX348" i="1" s="1"/>
  <c r="W348" i="1" s="1"/>
  <c r="CS348" i="1"/>
  <c r="R348" i="1" s="1"/>
  <c r="CT348" i="1"/>
  <c r="S348" i="1" s="1"/>
  <c r="K657" i="5" s="1"/>
  <c r="CW348" i="1"/>
  <c r="V348" i="1" s="1"/>
  <c r="FR348" i="1"/>
  <c r="GL348" i="1"/>
  <c r="GO348" i="1"/>
  <c r="GP348" i="1"/>
  <c r="GV348" i="1"/>
  <c r="GX348" i="1" s="1"/>
  <c r="I349" i="1"/>
  <c r="AC349" i="1"/>
  <c r="AE349" i="1"/>
  <c r="AD349" i="1" s="1"/>
  <c r="CR349" i="1" s="1"/>
  <c r="Q349" i="1" s="1"/>
  <c r="AF349" i="1"/>
  <c r="AG349" i="1"/>
  <c r="AH349" i="1"/>
  <c r="AI349" i="1"/>
  <c r="AJ349" i="1"/>
  <c r="CX349" i="1" s="1"/>
  <c r="CQ349" i="1"/>
  <c r="CU349" i="1"/>
  <c r="T349" i="1" s="1"/>
  <c r="CV349" i="1"/>
  <c r="CW349" i="1"/>
  <c r="FR349" i="1"/>
  <c r="GL349" i="1"/>
  <c r="GO349" i="1"/>
  <c r="GP349" i="1"/>
  <c r="GV349" i="1"/>
  <c r="AC350" i="1"/>
  <c r="CQ350" i="1" s="1"/>
  <c r="AE350" i="1"/>
  <c r="CS350" i="1" s="1"/>
  <c r="AF350" i="1"/>
  <c r="AG350" i="1"/>
  <c r="AH350" i="1"/>
  <c r="AI350" i="1"/>
  <c r="CW350" i="1" s="1"/>
  <c r="AJ350" i="1"/>
  <c r="CX350" i="1" s="1"/>
  <c r="CT350" i="1"/>
  <c r="CU350" i="1"/>
  <c r="CV350" i="1"/>
  <c r="FR350" i="1"/>
  <c r="BY358" i="1" s="1"/>
  <c r="BY344" i="1" s="1"/>
  <c r="GL350" i="1"/>
  <c r="GO350" i="1"/>
  <c r="GP350" i="1"/>
  <c r="GV350" i="1"/>
  <c r="C351" i="1"/>
  <c r="D351" i="1"/>
  <c r="I351" i="1"/>
  <c r="AC351" i="1"/>
  <c r="H672" i="5" s="1"/>
  <c r="AE351" i="1"/>
  <c r="AF351" i="1"/>
  <c r="AG351" i="1"/>
  <c r="AH351" i="1"/>
  <c r="CV351" i="1" s="1"/>
  <c r="U351" i="1" s="1"/>
  <c r="AI351" i="1"/>
  <c r="AJ351" i="1"/>
  <c r="CX351" i="1" s="1"/>
  <c r="CS351" i="1"/>
  <c r="R351" i="1" s="1"/>
  <c r="CU351" i="1"/>
  <c r="CW351" i="1"/>
  <c r="V351" i="1" s="1"/>
  <c r="FR351" i="1"/>
  <c r="GL351" i="1"/>
  <c r="GO351" i="1"/>
  <c r="GP351" i="1"/>
  <c r="GV351" i="1"/>
  <c r="GX351" i="1" s="1"/>
  <c r="AC352" i="1"/>
  <c r="AE352" i="1"/>
  <c r="CS352" i="1" s="1"/>
  <c r="AF352" i="1"/>
  <c r="AG352" i="1"/>
  <c r="CU352" i="1" s="1"/>
  <c r="AH352" i="1"/>
  <c r="AI352" i="1"/>
  <c r="CW352" i="1" s="1"/>
  <c r="AJ352" i="1"/>
  <c r="CQ352" i="1"/>
  <c r="CT352" i="1"/>
  <c r="CV352" i="1"/>
  <c r="CX352" i="1"/>
  <c r="FR352" i="1"/>
  <c r="GL352" i="1"/>
  <c r="GO352" i="1"/>
  <c r="GP352" i="1"/>
  <c r="GV352" i="1"/>
  <c r="AC353" i="1"/>
  <c r="AD353" i="1"/>
  <c r="CR353" i="1" s="1"/>
  <c r="AE353" i="1"/>
  <c r="AF353" i="1"/>
  <c r="AG353" i="1"/>
  <c r="AH353" i="1"/>
  <c r="CV353" i="1" s="1"/>
  <c r="AI353" i="1"/>
  <c r="AJ353" i="1"/>
  <c r="CX353" i="1" s="1"/>
  <c r="CS353" i="1"/>
  <c r="CT353" i="1"/>
  <c r="CU353" i="1"/>
  <c r="CW353" i="1"/>
  <c r="FR353" i="1"/>
  <c r="GL353" i="1"/>
  <c r="GO353" i="1"/>
  <c r="GP353" i="1"/>
  <c r="CD358" i="1" s="1"/>
  <c r="CD344" i="1" s="1"/>
  <c r="GV353" i="1"/>
  <c r="I354" i="1"/>
  <c r="E678" i="5" s="1"/>
  <c r="AC354" i="1"/>
  <c r="AE354" i="1"/>
  <c r="AD354" i="1" s="1"/>
  <c r="CR354" i="1" s="1"/>
  <c r="Q354" i="1" s="1"/>
  <c r="AF354" i="1"/>
  <c r="AG354" i="1"/>
  <c r="CU354" i="1" s="1"/>
  <c r="T354" i="1" s="1"/>
  <c r="AH354" i="1"/>
  <c r="AI354" i="1"/>
  <c r="AJ354" i="1"/>
  <c r="CX354" i="1" s="1"/>
  <c r="CS354" i="1"/>
  <c r="R354" i="1" s="1"/>
  <c r="GK354" i="1" s="1"/>
  <c r="CV354" i="1"/>
  <c r="CW354" i="1"/>
  <c r="V354" i="1" s="1"/>
  <c r="FR354" i="1"/>
  <c r="GL354" i="1"/>
  <c r="GO354" i="1"/>
  <c r="GP354" i="1"/>
  <c r="GV354" i="1"/>
  <c r="AC355" i="1"/>
  <c r="CQ355" i="1" s="1"/>
  <c r="P355" i="1" s="1"/>
  <c r="AD355" i="1"/>
  <c r="AE355" i="1"/>
  <c r="CS355" i="1" s="1"/>
  <c r="R355" i="1" s="1"/>
  <c r="GK355" i="1" s="1"/>
  <c r="AF355" i="1"/>
  <c r="AG355" i="1"/>
  <c r="CU355" i="1" s="1"/>
  <c r="T355" i="1" s="1"/>
  <c r="AH355" i="1"/>
  <c r="AI355" i="1"/>
  <c r="CW355" i="1" s="1"/>
  <c r="V355" i="1" s="1"/>
  <c r="AJ355" i="1"/>
  <c r="CX355" i="1" s="1"/>
  <c r="W355" i="1" s="1"/>
  <c r="CR355" i="1"/>
  <c r="Q355" i="1" s="1"/>
  <c r="CV355" i="1"/>
  <c r="U355" i="1" s="1"/>
  <c r="L681" i="5" s="1"/>
  <c r="Q681" i="5" s="1"/>
  <c r="FR355" i="1"/>
  <c r="GL355" i="1"/>
  <c r="GO355" i="1"/>
  <c r="GP355" i="1"/>
  <c r="GV355" i="1"/>
  <c r="GX355" i="1" s="1"/>
  <c r="AC356" i="1"/>
  <c r="CQ356" i="1" s="1"/>
  <c r="P356" i="1" s="1"/>
  <c r="AE356" i="1"/>
  <c r="AD356" i="1" s="1"/>
  <c r="CR356" i="1" s="1"/>
  <c r="Q356" i="1" s="1"/>
  <c r="AF356" i="1"/>
  <c r="AG356" i="1"/>
  <c r="AH356" i="1"/>
  <c r="AI356" i="1"/>
  <c r="AJ356" i="1"/>
  <c r="CS356" i="1"/>
  <c r="R356" i="1" s="1"/>
  <c r="GK356" i="1" s="1"/>
  <c r="CT356" i="1"/>
  <c r="S356" i="1" s="1"/>
  <c r="CU356" i="1"/>
  <c r="T356" i="1" s="1"/>
  <c r="CV356" i="1"/>
  <c r="U356" i="1" s="1"/>
  <c r="L683" i="5" s="1"/>
  <c r="Q683" i="5" s="1"/>
  <c r="CW356" i="1"/>
  <c r="V356" i="1" s="1"/>
  <c r="CX356" i="1"/>
  <c r="W356" i="1" s="1"/>
  <c r="CY356" i="1"/>
  <c r="X356" i="1" s="1"/>
  <c r="T682" i="5" s="1"/>
  <c r="CZ356" i="1"/>
  <c r="Y356" i="1" s="1"/>
  <c r="V682" i="5" s="1"/>
  <c r="FR356" i="1"/>
  <c r="GL356" i="1"/>
  <c r="GO356" i="1"/>
  <c r="GP356" i="1"/>
  <c r="GV356" i="1"/>
  <c r="GX356" i="1"/>
  <c r="B358" i="1"/>
  <c r="B344" i="1" s="1"/>
  <c r="C358" i="1"/>
  <c r="C344" i="1" s="1"/>
  <c r="D358" i="1"/>
  <c r="D344" i="1" s="1"/>
  <c r="F358" i="1"/>
  <c r="F344" i="1" s="1"/>
  <c r="G358" i="1"/>
  <c r="BX358" i="1"/>
  <c r="BX344" i="1" s="1"/>
  <c r="BZ358" i="1"/>
  <c r="BZ344" i="1" s="1"/>
  <c r="CK358" i="1"/>
  <c r="CK344" i="1" s="1"/>
  <c r="CL358" i="1"/>
  <c r="CL344" i="1" s="1"/>
  <c r="B387" i="1"/>
  <c r="B22" i="1" s="1"/>
  <c r="C387" i="1"/>
  <c r="C22" i="1" s="1"/>
  <c r="D387" i="1"/>
  <c r="D22" i="1" s="1"/>
  <c r="F387" i="1"/>
  <c r="F22" i="1" s="1"/>
  <c r="G387" i="1"/>
  <c r="B419" i="1"/>
  <c r="B18" i="1" s="1"/>
  <c r="C419" i="1"/>
  <c r="C18" i="1" s="1"/>
  <c r="D419" i="1"/>
  <c r="D18" i="1" s="1"/>
  <c r="F419" i="1"/>
  <c r="F18" i="1" s="1"/>
  <c r="G419" i="1"/>
  <c r="G18" i="1" s="1"/>
  <c r="AB257" i="1" l="1"/>
  <c r="AB239" i="1"/>
  <c r="BZ199" i="1"/>
  <c r="U156" i="1"/>
  <c r="H211" i="5"/>
  <c r="CR66" i="1"/>
  <c r="Q66" i="1" s="1"/>
  <c r="K211" i="5" s="1"/>
  <c r="CC358" i="1"/>
  <c r="GX354" i="1"/>
  <c r="U354" i="1"/>
  <c r="W354" i="1"/>
  <c r="GX349" i="1"/>
  <c r="CS349" i="1"/>
  <c r="R349" i="1" s="1"/>
  <c r="GK349" i="1" s="1"/>
  <c r="U346" i="1"/>
  <c r="W346" i="1"/>
  <c r="F329" i="1"/>
  <c r="GX311" i="1"/>
  <c r="U311" i="1"/>
  <c r="CS311" i="1"/>
  <c r="R311" i="1" s="1"/>
  <c r="GK311" i="1" s="1"/>
  <c r="W311" i="1"/>
  <c r="S310" i="1"/>
  <c r="CS309" i="1"/>
  <c r="R309" i="1" s="1"/>
  <c r="GK309" i="1" s="1"/>
  <c r="W307" i="1"/>
  <c r="S307" i="1"/>
  <c r="W306" i="1"/>
  <c r="CS306" i="1"/>
  <c r="R306" i="1" s="1"/>
  <c r="GK306" i="1" s="1"/>
  <c r="U306" i="1"/>
  <c r="BC272" i="1"/>
  <c r="BC230" i="1" s="1"/>
  <c r="W269" i="1"/>
  <c r="AB269" i="1"/>
  <c r="GX268" i="1"/>
  <c r="W268" i="1"/>
  <c r="S268" i="1"/>
  <c r="CS267" i="1"/>
  <c r="AB265" i="1"/>
  <c r="GX264" i="1"/>
  <c r="S264" i="1"/>
  <c r="K597" i="5" s="1"/>
  <c r="W264" i="1"/>
  <c r="U264" i="1"/>
  <c r="H600" i="5"/>
  <c r="CS261" i="1"/>
  <c r="R261" i="1" s="1"/>
  <c r="I260" i="1"/>
  <c r="E581" i="5" s="1"/>
  <c r="CS259" i="1"/>
  <c r="I259" i="1"/>
  <c r="W259" i="1" s="1"/>
  <c r="T258" i="1"/>
  <c r="V258" i="1"/>
  <c r="I257" i="1"/>
  <c r="R257" i="1" s="1"/>
  <c r="GK257" i="1" s="1"/>
  <c r="T255" i="1"/>
  <c r="P255" i="1"/>
  <c r="K573" i="5" s="1"/>
  <c r="GX254" i="1"/>
  <c r="S254" i="1"/>
  <c r="W254" i="1"/>
  <c r="U254" i="1"/>
  <c r="CS246" i="1"/>
  <c r="GX244" i="1"/>
  <c r="U244" i="1"/>
  <c r="W241" i="1"/>
  <c r="AD237" i="1"/>
  <c r="CR237" i="1" s="1"/>
  <c r="AD236" i="1"/>
  <c r="CR236" i="1" s="1"/>
  <c r="AD156" i="1"/>
  <c r="CR156" i="1" s="1"/>
  <c r="Q156" i="1" s="1"/>
  <c r="CS156" i="1"/>
  <c r="R156" i="1" s="1"/>
  <c r="GK156" i="1" s="1"/>
  <c r="H245" i="5"/>
  <c r="S75" i="1"/>
  <c r="AD47" i="1"/>
  <c r="AD45" i="1"/>
  <c r="W35" i="1"/>
  <c r="S35" i="1"/>
  <c r="U35" i="1"/>
  <c r="W158" i="1"/>
  <c r="AB158" i="1"/>
  <c r="GX157" i="1"/>
  <c r="S157" i="1"/>
  <c r="K446" i="5" s="1"/>
  <c r="U157" i="1"/>
  <c r="GX156" i="1"/>
  <c r="GX155" i="1"/>
  <c r="S155" i="1"/>
  <c r="W152" i="1"/>
  <c r="U152" i="1"/>
  <c r="GX151" i="1"/>
  <c r="W151" i="1"/>
  <c r="S151" i="1"/>
  <c r="K415" i="5" s="1"/>
  <c r="H418" i="5"/>
  <c r="W147" i="1"/>
  <c r="U147" i="1"/>
  <c r="GX146" i="1"/>
  <c r="W146" i="1"/>
  <c r="S146" i="1"/>
  <c r="K394" i="5" s="1"/>
  <c r="H397" i="5"/>
  <c r="V144" i="1"/>
  <c r="T144" i="1"/>
  <c r="CQ143" i="1"/>
  <c r="P143" i="1" s="1"/>
  <c r="K385" i="5" s="1"/>
  <c r="H367" i="5"/>
  <c r="T137" i="1"/>
  <c r="P137" i="1"/>
  <c r="K356" i="5" s="1"/>
  <c r="V137" i="1"/>
  <c r="CS95" i="1"/>
  <c r="CS91" i="1"/>
  <c r="AD91" i="1"/>
  <c r="H296" i="5" s="1"/>
  <c r="CS89" i="1"/>
  <c r="R89" i="1" s="1"/>
  <c r="W89" i="1"/>
  <c r="U89" i="1"/>
  <c r="U87" i="1"/>
  <c r="CS84" i="1"/>
  <c r="R84" i="1" s="1"/>
  <c r="GK84" i="1" s="1"/>
  <c r="W84" i="1"/>
  <c r="U84" i="1"/>
  <c r="CZ70" i="1"/>
  <c r="Y70" i="1" s="1"/>
  <c r="V220" i="5" s="1"/>
  <c r="CY70" i="1"/>
  <c r="X70" i="1" s="1"/>
  <c r="T220" i="5" s="1"/>
  <c r="AD57" i="1"/>
  <c r="CR57" i="1" s="1"/>
  <c r="W42" i="1"/>
  <c r="U42" i="1"/>
  <c r="W32" i="1"/>
  <c r="S32" i="1"/>
  <c r="K61" i="5" s="1"/>
  <c r="H54" i="5"/>
  <c r="R54" i="5" s="1"/>
  <c r="CS29" i="1"/>
  <c r="R29" i="1" s="1"/>
  <c r="GK29" i="1" s="1"/>
  <c r="GK351" i="1"/>
  <c r="K671" i="5"/>
  <c r="L623" i="5"/>
  <c r="Q623" i="5" s="1"/>
  <c r="L620" i="5"/>
  <c r="L610" i="5"/>
  <c r="Q610" i="5" s="1"/>
  <c r="L603" i="5"/>
  <c r="CZ261" i="1"/>
  <c r="Y261" i="1" s="1"/>
  <c r="V583" i="5" s="1"/>
  <c r="K585" i="5"/>
  <c r="E541" i="5"/>
  <c r="R243" i="1"/>
  <c r="GK243" i="1" s="1"/>
  <c r="CR240" i="1"/>
  <c r="Q240" i="1" s="1"/>
  <c r="K524" i="5" s="1"/>
  <c r="H524" i="5"/>
  <c r="GK234" i="1"/>
  <c r="K511" i="5"/>
  <c r="E516" i="5"/>
  <c r="GX235" i="1"/>
  <c r="L506" i="5"/>
  <c r="Q506" i="5" s="1"/>
  <c r="L505" i="5"/>
  <c r="L402" i="5"/>
  <c r="Q402" i="5" s="1"/>
  <c r="L400" i="5"/>
  <c r="L679" i="5"/>
  <c r="Q679" i="5" s="1"/>
  <c r="L675" i="5"/>
  <c r="AB232" i="1"/>
  <c r="H492" i="5"/>
  <c r="CR232" i="1"/>
  <c r="Q232" i="1" s="1"/>
  <c r="K492" i="5" s="1"/>
  <c r="L454" i="5"/>
  <c r="Q454" i="5" s="1"/>
  <c r="L452" i="5"/>
  <c r="AP358" i="1"/>
  <c r="G344" i="1"/>
  <c r="A684" i="5"/>
  <c r="AB356" i="1"/>
  <c r="U682" i="5"/>
  <c r="S682" i="5"/>
  <c r="CT355" i="1"/>
  <c r="S355" i="1" s="1"/>
  <c r="U680" i="5"/>
  <c r="S680" i="5"/>
  <c r="CT354" i="1"/>
  <c r="S354" i="1" s="1"/>
  <c r="U678" i="5"/>
  <c r="S678" i="5"/>
  <c r="CQ354" i="1"/>
  <c r="P354" i="1" s="1"/>
  <c r="H678" i="5"/>
  <c r="W678" i="5" s="1"/>
  <c r="CT351" i="1"/>
  <c r="S667" i="5"/>
  <c r="H669" i="5"/>
  <c r="R669" i="5" s="1"/>
  <c r="U667" i="5"/>
  <c r="C668" i="5"/>
  <c r="E667" i="5"/>
  <c r="L666" i="5"/>
  <c r="Q666" i="5" s="1"/>
  <c r="L663" i="5"/>
  <c r="GK348" i="1"/>
  <c r="K659" i="5"/>
  <c r="AD348" i="1"/>
  <c r="H659" i="5"/>
  <c r="R659" i="5" s="1"/>
  <c r="I350" i="1"/>
  <c r="E665" i="5" s="1"/>
  <c r="C656" i="5"/>
  <c r="E655" i="5"/>
  <c r="CT347" i="1"/>
  <c r="H648" i="5"/>
  <c r="U646" i="5"/>
  <c r="H652" i="5" s="1"/>
  <c r="S646" i="5"/>
  <c r="H651" i="5" s="1"/>
  <c r="C647" i="5"/>
  <c r="E646" i="5"/>
  <c r="L645" i="5"/>
  <c r="Q645" i="5" s="1"/>
  <c r="L644" i="5"/>
  <c r="C638" i="5"/>
  <c r="E637" i="5"/>
  <c r="AO313" i="1"/>
  <c r="AO303" i="1" s="1"/>
  <c r="CZ309" i="1"/>
  <c r="Y309" i="1" s="1"/>
  <c r="V631" i="5" s="1"/>
  <c r="CP309" i="1"/>
  <c r="O309" i="1" s="1"/>
  <c r="K631" i="5" s="1"/>
  <c r="AB309" i="1"/>
  <c r="H631" i="5"/>
  <c r="W631" i="5" s="1"/>
  <c r="L634" i="5"/>
  <c r="Q634" i="5" s="1"/>
  <c r="L630" i="5"/>
  <c r="H625" i="5"/>
  <c r="R625" i="5" s="1"/>
  <c r="S624" i="5"/>
  <c r="U624" i="5"/>
  <c r="CC313" i="1"/>
  <c r="S622" i="5"/>
  <c r="U622" i="5"/>
  <c r="H622" i="5"/>
  <c r="W622" i="5" s="1"/>
  <c r="S621" i="5"/>
  <c r="U621" i="5"/>
  <c r="AI313" i="1"/>
  <c r="G230" i="1"/>
  <c r="AF611" i="5"/>
  <c r="A611" i="5"/>
  <c r="V269" i="1"/>
  <c r="CQ269" i="1"/>
  <c r="P269" i="1" s="1"/>
  <c r="S607" i="5"/>
  <c r="U607" i="5"/>
  <c r="H607" i="5"/>
  <c r="W607" i="5" s="1"/>
  <c r="AB267" i="1"/>
  <c r="V265" i="1"/>
  <c r="CQ265" i="1"/>
  <c r="GK264" i="1"/>
  <c r="K599" i="5"/>
  <c r="AD264" i="1"/>
  <c r="H599" i="5"/>
  <c r="R599" i="5" s="1"/>
  <c r="I266" i="1"/>
  <c r="E605" i="5" s="1"/>
  <c r="C596" i="5"/>
  <c r="E595" i="5"/>
  <c r="T263" i="1"/>
  <c r="Q263" i="1"/>
  <c r="V261" i="1"/>
  <c r="H587" i="5"/>
  <c r="R587" i="5" s="1"/>
  <c r="H588" i="5"/>
  <c r="V259" i="1"/>
  <c r="H580" i="5"/>
  <c r="W580" i="5" s="1"/>
  <c r="S579" i="5"/>
  <c r="U579" i="5"/>
  <c r="V257" i="1"/>
  <c r="CQ257" i="1"/>
  <c r="R256" i="1"/>
  <c r="GK256" i="1" s="1"/>
  <c r="T256" i="1"/>
  <c r="Q256" i="1"/>
  <c r="V255" i="1"/>
  <c r="H572" i="5"/>
  <c r="R572" i="5" s="1"/>
  <c r="H573" i="5"/>
  <c r="V252" i="1"/>
  <c r="T252" i="1"/>
  <c r="Q252" i="1"/>
  <c r="CS250" i="1"/>
  <c r="AD248" i="1"/>
  <c r="CR248" i="1" s="1"/>
  <c r="CS247" i="1"/>
  <c r="CT247" i="1"/>
  <c r="H552" i="5"/>
  <c r="W552" i="5" s="1"/>
  <c r="AB245" i="1"/>
  <c r="H547" i="5"/>
  <c r="I247" i="1"/>
  <c r="U552" i="5" s="1"/>
  <c r="C545" i="5"/>
  <c r="E544" i="5"/>
  <c r="CS244" i="1"/>
  <c r="R244" i="1" s="1"/>
  <c r="GK244" i="1" s="1"/>
  <c r="CT244" i="1"/>
  <c r="S244" i="1" s="1"/>
  <c r="S542" i="5"/>
  <c r="U542" i="5"/>
  <c r="CQ244" i="1"/>
  <c r="P244" i="1" s="1"/>
  <c r="H542" i="5"/>
  <c r="W542" i="5" s="1"/>
  <c r="T243" i="1"/>
  <c r="H541" i="5"/>
  <c r="W541" i="5" s="1"/>
  <c r="T242" i="1"/>
  <c r="V242" i="1"/>
  <c r="CS242" i="1"/>
  <c r="R242" i="1" s="1"/>
  <c r="H536" i="5"/>
  <c r="R536" i="5" s="1"/>
  <c r="H537" i="5"/>
  <c r="CT241" i="1"/>
  <c r="S241" i="1" s="1"/>
  <c r="U530" i="5"/>
  <c r="S530" i="5"/>
  <c r="L531" i="5"/>
  <c r="Q531" i="5" s="1"/>
  <c r="L529" i="5"/>
  <c r="U522" i="5"/>
  <c r="H528" i="5" s="1"/>
  <c r="H523" i="5"/>
  <c r="R523" i="5" s="1"/>
  <c r="S522" i="5"/>
  <c r="U238" i="1"/>
  <c r="CT238" i="1"/>
  <c r="S238" i="1" s="1"/>
  <c r="U519" i="5"/>
  <c r="S519" i="5"/>
  <c r="U235" i="1"/>
  <c r="W235" i="1"/>
  <c r="CT235" i="1"/>
  <c r="S235" i="1" s="1"/>
  <c r="U516" i="5"/>
  <c r="S516" i="5"/>
  <c r="CQ235" i="1"/>
  <c r="H516" i="5"/>
  <c r="W516" i="5" s="1"/>
  <c r="W234" i="1"/>
  <c r="U234" i="1"/>
  <c r="CT234" i="1"/>
  <c r="S234" i="1" s="1"/>
  <c r="K509" i="5" s="1"/>
  <c r="H509" i="5"/>
  <c r="R509" i="5" s="1"/>
  <c r="U507" i="5"/>
  <c r="S507" i="5"/>
  <c r="AD234" i="1"/>
  <c r="W233" i="1"/>
  <c r="CT233" i="1"/>
  <c r="S233" i="1" s="1"/>
  <c r="K500" i="5" s="1"/>
  <c r="H500" i="5"/>
  <c r="U498" i="5"/>
  <c r="H504" i="5" s="1"/>
  <c r="S498" i="5"/>
  <c r="H503" i="5" s="1"/>
  <c r="P233" i="1"/>
  <c r="GX232" i="1"/>
  <c r="W232" i="1"/>
  <c r="U232" i="1"/>
  <c r="CT232" i="1"/>
  <c r="S232" i="1" s="1"/>
  <c r="S489" i="5"/>
  <c r="H494" i="5" s="1"/>
  <c r="H491" i="5"/>
  <c r="U489" i="5"/>
  <c r="H495" i="5" s="1"/>
  <c r="F215" i="1"/>
  <c r="AB197" i="1"/>
  <c r="C475" i="5"/>
  <c r="E474" i="5"/>
  <c r="BB162" i="1"/>
  <c r="G131" i="1"/>
  <c r="A466" i="5"/>
  <c r="V160" i="1"/>
  <c r="R160" i="1"/>
  <c r="GK160" i="1" s="1"/>
  <c r="T160" i="1"/>
  <c r="H464" i="5"/>
  <c r="X464" i="5" s="1"/>
  <c r="T159" i="1"/>
  <c r="V159" i="1"/>
  <c r="CS159" i="1"/>
  <c r="R159" i="1" s="1"/>
  <c r="H459" i="5"/>
  <c r="R459" i="5" s="1"/>
  <c r="H460" i="5"/>
  <c r="T158" i="1"/>
  <c r="CQ158" i="1"/>
  <c r="P158" i="1" s="1"/>
  <c r="V158" i="1"/>
  <c r="Q158" i="1"/>
  <c r="R157" i="1"/>
  <c r="V157" i="1"/>
  <c r="AD157" i="1"/>
  <c r="H448" i="5"/>
  <c r="R448" i="5" s="1"/>
  <c r="W156" i="1"/>
  <c r="CT156" i="1"/>
  <c r="S156" i="1" s="1"/>
  <c r="S442" i="5"/>
  <c r="U442" i="5"/>
  <c r="CY155" i="1"/>
  <c r="X155" i="1" s="1"/>
  <c r="T435" i="5" s="1"/>
  <c r="K437" i="5"/>
  <c r="W155" i="1"/>
  <c r="H437" i="5"/>
  <c r="R437" i="5" s="1"/>
  <c r="U435" i="5"/>
  <c r="S435" i="5"/>
  <c r="CQ155" i="1"/>
  <c r="P155" i="1" s="1"/>
  <c r="K438" i="5" s="1"/>
  <c r="H438" i="5"/>
  <c r="CS154" i="1"/>
  <c r="R154" i="1" s="1"/>
  <c r="GK154" i="1" s="1"/>
  <c r="CT154" i="1"/>
  <c r="S154" i="1" s="1"/>
  <c r="U433" i="5"/>
  <c r="S433" i="5"/>
  <c r="V153" i="1"/>
  <c r="T153" i="1"/>
  <c r="H428" i="5"/>
  <c r="R428" i="5" s="1"/>
  <c r="CS152" i="1"/>
  <c r="R152" i="1" s="1"/>
  <c r="GK152" i="1" s="1"/>
  <c r="CT152" i="1"/>
  <c r="S152" i="1" s="1"/>
  <c r="S422" i="5"/>
  <c r="U422" i="5"/>
  <c r="V151" i="1"/>
  <c r="T151" i="1"/>
  <c r="H417" i="5"/>
  <c r="R417" i="5" s="1"/>
  <c r="CS150" i="1"/>
  <c r="R150" i="1" s="1"/>
  <c r="GK150" i="1" s="1"/>
  <c r="CT150" i="1"/>
  <c r="S150" i="1" s="1"/>
  <c r="U411" i="5"/>
  <c r="S411" i="5"/>
  <c r="V149" i="1"/>
  <c r="T149" i="1"/>
  <c r="CS148" i="1"/>
  <c r="R148" i="1" s="1"/>
  <c r="L412" i="5"/>
  <c r="Q412" i="5" s="1"/>
  <c r="L409" i="5"/>
  <c r="CT148" i="1"/>
  <c r="S148" i="1" s="1"/>
  <c r="K404" i="5" s="1"/>
  <c r="H404" i="5"/>
  <c r="S403" i="5"/>
  <c r="U403" i="5"/>
  <c r="CS147" i="1"/>
  <c r="R147" i="1" s="1"/>
  <c r="GK147" i="1" s="1"/>
  <c r="CT147" i="1"/>
  <c r="S147" i="1" s="1"/>
  <c r="S401" i="5"/>
  <c r="U401" i="5"/>
  <c r="GX147" i="1"/>
  <c r="E401" i="5"/>
  <c r="C393" i="5"/>
  <c r="E392" i="5"/>
  <c r="CD162" i="1"/>
  <c r="P145" i="1"/>
  <c r="H390" i="5"/>
  <c r="X390" i="5" s="1"/>
  <c r="GX144" i="1"/>
  <c r="U389" i="5"/>
  <c r="S389" i="5"/>
  <c r="CS143" i="1"/>
  <c r="R143" i="1" s="1"/>
  <c r="K384" i="5" s="1"/>
  <c r="L391" i="5"/>
  <c r="Q391" i="5" s="1"/>
  <c r="L388" i="5"/>
  <c r="CT143" i="1"/>
  <c r="S143" i="1" s="1"/>
  <c r="K382" i="5" s="1"/>
  <c r="U381" i="5"/>
  <c r="H382" i="5"/>
  <c r="S381" i="5"/>
  <c r="AD143" i="1"/>
  <c r="H383" i="5" s="1"/>
  <c r="CS142" i="1"/>
  <c r="R142" i="1" s="1"/>
  <c r="GK142" i="1" s="1"/>
  <c r="CT142" i="1"/>
  <c r="U379" i="5"/>
  <c r="S379" i="5"/>
  <c r="GX142" i="1"/>
  <c r="E379" i="5"/>
  <c r="CS139" i="1"/>
  <c r="R139" i="1" s="1"/>
  <c r="W139" i="1"/>
  <c r="U139" i="1"/>
  <c r="CT139" i="1"/>
  <c r="S139" i="1" s="1"/>
  <c r="K364" i="5" s="1"/>
  <c r="S362" i="5"/>
  <c r="H364" i="5"/>
  <c r="U362" i="5"/>
  <c r="AD139" i="1"/>
  <c r="CQ138" i="1"/>
  <c r="GK137" i="1"/>
  <c r="K355" i="5"/>
  <c r="CT137" i="1"/>
  <c r="S137" i="1" s="1"/>
  <c r="K353" i="5" s="1"/>
  <c r="S351" i="5"/>
  <c r="H353" i="5"/>
  <c r="U351" i="5"/>
  <c r="CR137" i="1"/>
  <c r="H354" i="5"/>
  <c r="C352" i="5"/>
  <c r="E351" i="5"/>
  <c r="BY162" i="1"/>
  <c r="CQ135" i="1"/>
  <c r="P135" i="1" s="1"/>
  <c r="K345" i="5" s="1"/>
  <c r="H344" i="5"/>
  <c r="R344" i="5" s="1"/>
  <c r="AD135" i="1"/>
  <c r="CS135" i="1"/>
  <c r="CQ133" i="1"/>
  <c r="P133" i="1" s="1"/>
  <c r="K334" i="5" s="1"/>
  <c r="H333" i="5"/>
  <c r="R333" i="5" s="1"/>
  <c r="AD133" i="1"/>
  <c r="CS133" i="1"/>
  <c r="R133" i="1" s="1"/>
  <c r="K333" i="5" s="1"/>
  <c r="V133" i="1"/>
  <c r="C330" i="5"/>
  <c r="E329" i="5"/>
  <c r="W98" i="1"/>
  <c r="S325" i="5"/>
  <c r="U325" i="5"/>
  <c r="CT98" i="1"/>
  <c r="S98" i="1" s="1"/>
  <c r="CQ97" i="1"/>
  <c r="P97" i="1" s="1"/>
  <c r="K321" i="5" s="1"/>
  <c r="H320" i="5"/>
  <c r="R320" i="5" s="1"/>
  <c r="AD97" i="1"/>
  <c r="H319" i="5" s="1"/>
  <c r="CS97" i="1"/>
  <c r="R97" i="1" s="1"/>
  <c r="AD96" i="1"/>
  <c r="CR96" i="1" s="1"/>
  <c r="CS96" i="1"/>
  <c r="U92" i="1"/>
  <c r="C283" i="5"/>
  <c r="E282" i="5"/>
  <c r="L271" i="5"/>
  <c r="Q271" i="5" s="1"/>
  <c r="L269" i="5"/>
  <c r="L195" i="5"/>
  <c r="Q195" i="5" s="1"/>
  <c r="L194" i="5"/>
  <c r="GK30" i="1"/>
  <c r="K45" i="5"/>
  <c r="H36" i="5"/>
  <c r="CR29" i="1"/>
  <c r="Q29" i="1" s="1"/>
  <c r="K36" i="5" s="1"/>
  <c r="G22" i="1"/>
  <c r="A685" i="5"/>
  <c r="BB358" i="1"/>
  <c r="AO358" i="1"/>
  <c r="CP355" i="1"/>
  <c r="O355" i="1" s="1"/>
  <c r="AB354" i="1"/>
  <c r="AB353" i="1"/>
  <c r="AD352" i="1"/>
  <c r="CR352" i="1" s="1"/>
  <c r="CQ351" i="1"/>
  <c r="P351" i="1" s="1"/>
  <c r="K672" i="5" s="1"/>
  <c r="AD351" i="1"/>
  <c r="H671" i="5"/>
  <c r="R671" i="5" s="1"/>
  <c r="AB351" i="1"/>
  <c r="U350" i="1"/>
  <c r="S350" i="1"/>
  <c r="S665" i="5"/>
  <c r="U665" i="5"/>
  <c r="CT349" i="1"/>
  <c r="S664" i="5"/>
  <c r="U664" i="5"/>
  <c r="H664" i="5"/>
  <c r="W664" i="5" s="1"/>
  <c r="V349" i="1"/>
  <c r="E664" i="5"/>
  <c r="H657" i="5"/>
  <c r="R657" i="5" s="1"/>
  <c r="U655" i="5"/>
  <c r="H662" i="5" s="1"/>
  <c r="S655" i="5"/>
  <c r="H660" i="5"/>
  <c r="GK347" i="1"/>
  <c r="K650" i="5"/>
  <c r="AD347" i="1"/>
  <c r="H650" i="5"/>
  <c r="R650" i="5" s="1"/>
  <c r="AB347" i="1"/>
  <c r="CT346" i="1"/>
  <c r="S346" i="1" s="1"/>
  <c r="K639" i="5" s="1"/>
  <c r="S637" i="5"/>
  <c r="H642" i="5" s="1"/>
  <c r="H639" i="5"/>
  <c r="U637" i="5"/>
  <c r="H643" i="5" s="1"/>
  <c r="G303" i="1"/>
  <c r="AF635" i="5"/>
  <c r="A635" i="5"/>
  <c r="CT311" i="1"/>
  <c r="S311" i="1" s="1"/>
  <c r="U633" i="5"/>
  <c r="S633" i="5"/>
  <c r="H633" i="5"/>
  <c r="W633" i="5" s="1"/>
  <c r="U632" i="5"/>
  <c r="S632" i="5"/>
  <c r="H632" i="5"/>
  <c r="W632" i="5" s="1"/>
  <c r="U631" i="5"/>
  <c r="S631" i="5"/>
  <c r="H621" i="5"/>
  <c r="W621" i="5" s="1"/>
  <c r="H614" i="5"/>
  <c r="R614" i="5" s="1"/>
  <c r="S613" i="5"/>
  <c r="H618" i="5" s="1"/>
  <c r="U613" i="5"/>
  <c r="H619" i="5" s="1"/>
  <c r="CT269" i="1"/>
  <c r="S269" i="1" s="1"/>
  <c r="S608" i="5"/>
  <c r="U608" i="5"/>
  <c r="H608" i="5"/>
  <c r="W608" i="5" s="1"/>
  <c r="S605" i="5"/>
  <c r="U605" i="5"/>
  <c r="CT265" i="1"/>
  <c r="S604" i="5"/>
  <c r="U604" i="5"/>
  <c r="H604" i="5"/>
  <c r="W604" i="5" s="1"/>
  <c r="GX265" i="1"/>
  <c r="E604" i="5"/>
  <c r="H597" i="5"/>
  <c r="R597" i="5" s="1"/>
  <c r="U595" i="5"/>
  <c r="S595" i="5"/>
  <c r="CT263" i="1"/>
  <c r="U593" i="5"/>
  <c r="S593" i="5"/>
  <c r="H593" i="5"/>
  <c r="W593" i="5" s="1"/>
  <c r="V263" i="1"/>
  <c r="E593" i="5"/>
  <c r="U592" i="5"/>
  <c r="S592" i="5"/>
  <c r="H592" i="5"/>
  <c r="W592" i="5" s="1"/>
  <c r="GK261" i="1"/>
  <c r="K587" i="5"/>
  <c r="L594" i="5"/>
  <c r="Q594" i="5" s="1"/>
  <c r="L591" i="5"/>
  <c r="S583" i="5"/>
  <c r="H585" i="5"/>
  <c r="R585" i="5" s="1"/>
  <c r="U583" i="5"/>
  <c r="CR261" i="1"/>
  <c r="Q261" i="1" s="1"/>
  <c r="K586" i="5" s="1"/>
  <c r="H586" i="5"/>
  <c r="C584" i="5"/>
  <c r="E583" i="5"/>
  <c r="S581" i="5"/>
  <c r="U581" i="5"/>
  <c r="H581" i="5"/>
  <c r="W581" i="5" s="1"/>
  <c r="S580" i="5"/>
  <c r="U580" i="5"/>
  <c r="CT257" i="1"/>
  <c r="S578" i="5"/>
  <c r="U578" i="5"/>
  <c r="H578" i="5"/>
  <c r="W578" i="5" s="1"/>
  <c r="GX257" i="1"/>
  <c r="E578" i="5"/>
  <c r="V256" i="1"/>
  <c r="S256" i="1"/>
  <c r="S577" i="5"/>
  <c r="U577" i="5"/>
  <c r="H577" i="5"/>
  <c r="W577" i="5" s="1"/>
  <c r="GK255" i="1"/>
  <c r="K572" i="5"/>
  <c r="L582" i="5"/>
  <c r="Q582" i="5" s="1"/>
  <c r="L576" i="5"/>
  <c r="H570" i="5"/>
  <c r="R570" i="5" s="1"/>
  <c r="U568" i="5"/>
  <c r="S568" i="5"/>
  <c r="CR255" i="1"/>
  <c r="Q255" i="1" s="1"/>
  <c r="K571" i="5" s="1"/>
  <c r="H571" i="5"/>
  <c r="C569" i="5"/>
  <c r="E568" i="5"/>
  <c r="U566" i="5"/>
  <c r="S566" i="5"/>
  <c r="H566" i="5"/>
  <c r="X566" i="5" s="1"/>
  <c r="L567" i="5"/>
  <c r="Q567" i="5" s="1"/>
  <c r="L565" i="5"/>
  <c r="H560" i="5"/>
  <c r="S559" i="5"/>
  <c r="H563" i="5" s="1"/>
  <c r="U559" i="5"/>
  <c r="CR253" i="1"/>
  <c r="Q253" i="1" s="1"/>
  <c r="K561" i="5" s="1"/>
  <c r="H561" i="5"/>
  <c r="CT252" i="1"/>
  <c r="S557" i="5"/>
  <c r="U557" i="5"/>
  <c r="H557" i="5"/>
  <c r="W557" i="5" s="1"/>
  <c r="GX252" i="1"/>
  <c r="E557" i="5"/>
  <c r="S544" i="5"/>
  <c r="H546" i="5"/>
  <c r="R546" i="5" s="1"/>
  <c r="U544" i="5"/>
  <c r="V243" i="1"/>
  <c r="U243" i="1"/>
  <c r="CT243" i="1"/>
  <c r="S243" i="1" s="1"/>
  <c r="S541" i="5"/>
  <c r="U541" i="5"/>
  <c r="Q243" i="1"/>
  <c r="L543" i="5"/>
  <c r="Q543" i="5" s="1"/>
  <c r="L540" i="5"/>
  <c r="H534" i="5"/>
  <c r="R534" i="5" s="1"/>
  <c r="U532" i="5"/>
  <c r="S532" i="5"/>
  <c r="CR242" i="1"/>
  <c r="Q242" i="1" s="1"/>
  <c r="K535" i="5" s="1"/>
  <c r="H535" i="5"/>
  <c r="C533" i="5"/>
  <c r="E532" i="5"/>
  <c r="CQ241" i="1"/>
  <c r="H530" i="5"/>
  <c r="W530" i="5" s="1"/>
  <c r="GX241" i="1"/>
  <c r="E530" i="5"/>
  <c r="CS240" i="1"/>
  <c r="R240" i="1" s="1"/>
  <c r="H525" i="5"/>
  <c r="R525" i="5" s="1"/>
  <c r="CT239" i="1"/>
  <c r="S239" i="1" s="1"/>
  <c r="U520" i="5"/>
  <c r="S520" i="5"/>
  <c r="CQ239" i="1"/>
  <c r="P239" i="1" s="1"/>
  <c r="H520" i="5"/>
  <c r="W520" i="5" s="1"/>
  <c r="H519" i="5"/>
  <c r="W519" i="5" s="1"/>
  <c r="CT236" i="1"/>
  <c r="AB236" i="1"/>
  <c r="V235" i="1"/>
  <c r="Q235" i="1"/>
  <c r="T235" i="1"/>
  <c r="CQ234" i="1"/>
  <c r="H512" i="5"/>
  <c r="GX234" i="1"/>
  <c r="C508" i="5"/>
  <c r="E507" i="5"/>
  <c r="AD233" i="1"/>
  <c r="H502" i="5"/>
  <c r="R502" i="5" s="1"/>
  <c r="C499" i="5"/>
  <c r="E498" i="5"/>
  <c r="CS232" i="1"/>
  <c r="R232" i="1" s="1"/>
  <c r="H493" i="5"/>
  <c r="R493" i="5" s="1"/>
  <c r="C490" i="5"/>
  <c r="E489" i="5"/>
  <c r="AS199" i="1"/>
  <c r="F216" i="1" s="1"/>
  <c r="G193" i="1"/>
  <c r="AF487" i="5"/>
  <c r="A487" i="5"/>
  <c r="L486" i="5"/>
  <c r="Q486" i="5" s="1"/>
  <c r="L485" i="5"/>
  <c r="CT197" i="1"/>
  <c r="S197" i="1" s="1"/>
  <c r="K482" i="5" s="1"/>
  <c r="U481" i="5"/>
  <c r="H484" i="5" s="1"/>
  <c r="H482" i="5"/>
  <c r="S481" i="5"/>
  <c r="H483" i="5" s="1"/>
  <c r="CY196" i="1"/>
  <c r="X196" i="1" s="1"/>
  <c r="T474" i="5" s="1"/>
  <c r="K477" i="5" s="1"/>
  <c r="K476" i="5"/>
  <c r="L480" i="5"/>
  <c r="Q480" i="5" s="1"/>
  <c r="L479" i="5"/>
  <c r="H476" i="5"/>
  <c r="U474" i="5"/>
  <c r="H478" i="5" s="1"/>
  <c r="S474" i="5"/>
  <c r="H477" i="5" s="1"/>
  <c r="CC199" i="1"/>
  <c r="AH199" i="1"/>
  <c r="L473" i="5"/>
  <c r="Q473" i="5" s="1"/>
  <c r="L472" i="5"/>
  <c r="H469" i="5"/>
  <c r="S468" i="5"/>
  <c r="H470" i="5" s="1"/>
  <c r="U468" i="5"/>
  <c r="H471" i="5" s="1"/>
  <c r="AD199" i="1"/>
  <c r="AO162" i="1"/>
  <c r="S464" i="5"/>
  <c r="U464" i="5"/>
  <c r="CY159" i="1"/>
  <c r="X159" i="1" s="1"/>
  <c r="T455" i="5" s="1"/>
  <c r="K457" i="5"/>
  <c r="L465" i="5"/>
  <c r="Q465" i="5" s="1"/>
  <c r="L463" i="5"/>
  <c r="H457" i="5"/>
  <c r="R457" i="5" s="1"/>
  <c r="U455" i="5"/>
  <c r="S455" i="5"/>
  <c r="H461" i="5" s="1"/>
  <c r="CR159" i="1"/>
  <c r="Q159" i="1" s="1"/>
  <c r="K458" i="5" s="1"/>
  <c r="H458" i="5"/>
  <c r="C456" i="5"/>
  <c r="E455" i="5"/>
  <c r="CT158" i="1"/>
  <c r="S158" i="1" s="1"/>
  <c r="U453" i="5"/>
  <c r="S453" i="5"/>
  <c r="H453" i="5"/>
  <c r="X453" i="5" s="1"/>
  <c r="S444" i="5"/>
  <c r="H450" i="5" s="1"/>
  <c r="H446" i="5"/>
  <c r="U444" i="5"/>
  <c r="CQ157" i="1"/>
  <c r="P157" i="1" s="1"/>
  <c r="K449" i="5" s="1"/>
  <c r="H449" i="5"/>
  <c r="C445" i="5"/>
  <c r="E444" i="5"/>
  <c r="CP156" i="1"/>
  <c r="O156" i="1" s="1"/>
  <c r="K442" i="5" s="1"/>
  <c r="H442" i="5"/>
  <c r="X442" i="5" s="1"/>
  <c r="L443" i="5"/>
  <c r="Q443" i="5" s="1"/>
  <c r="L441" i="5"/>
  <c r="CP155" i="1"/>
  <c r="O155" i="1" s="1"/>
  <c r="C436" i="5"/>
  <c r="E435" i="5"/>
  <c r="H433" i="5"/>
  <c r="X433" i="5" s="1"/>
  <c r="L434" i="5"/>
  <c r="Q434" i="5" s="1"/>
  <c r="L432" i="5"/>
  <c r="S424" i="5"/>
  <c r="H430" i="5" s="1"/>
  <c r="H426" i="5"/>
  <c r="R426" i="5" s="1"/>
  <c r="U424" i="5"/>
  <c r="H431" i="5" s="1"/>
  <c r="C425" i="5"/>
  <c r="E424" i="5"/>
  <c r="H422" i="5"/>
  <c r="X422" i="5" s="1"/>
  <c r="L423" i="5"/>
  <c r="Q423" i="5" s="1"/>
  <c r="L421" i="5"/>
  <c r="H415" i="5"/>
  <c r="R415" i="5" s="1"/>
  <c r="U413" i="5"/>
  <c r="H420" i="5" s="1"/>
  <c r="S413" i="5"/>
  <c r="H419" i="5" s="1"/>
  <c r="C414" i="5"/>
  <c r="E413" i="5"/>
  <c r="H411" i="5"/>
  <c r="X411" i="5" s="1"/>
  <c r="U410" i="5"/>
  <c r="S410" i="5"/>
  <c r="CP147" i="1"/>
  <c r="O147" i="1" s="1"/>
  <c r="K401" i="5" s="1"/>
  <c r="H401" i="5"/>
  <c r="X401" i="5" s="1"/>
  <c r="H394" i="5"/>
  <c r="U392" i="5"/>
  <c r="H399" i="5" s="1"/>
  <c r="S392" i="5"/>
  <c r="H398" i="5" s="1"/>
  <c r="CT145" i="1"/>
  <c r="S145" i="1" s="1"/>
  <c r="U390" i="5"/>
  <c r="S390" i="5"/>
  <c r="GX145" i="1"/>
  <c r="E390" i="5"/>
  <c r="H379" i="5"/>
  <c r="X379" i="5" s="1"/>
  <c r="L380" i="5"/>
  <c r="Q380" i="5" s="1"/>
  <c r="L378" i="5"/>
  <c r="U373" i="5"/>
  <c r="H377" i="5" s="1"/>
  <c r="H374" i="5"/>
  <c r="S373" i="5"/>
  <c r="CQ140" i="1"/>
  <c r="C363" i="5"/>
  <c r="E362" i="5"/>
  <c r="CT134" i="1"/>
  <c r="CQ134" i="1"/>
  <c r="CK26" i="1"/>
  <c r="BB100" i="1"/>
  <c r="G26" i="1"/>
  <c r="A327" i="5"/>
  <c r="CT95" i="1"/>
  <c r="AD93" i="1"/>
  <c r="CS93" i="1"/>
  <c r="AD92" i="1"/>
  <c r="H307" i="5"/>
  <c r="R307" i="5" s="1"/>
  <c r="CS92" i="1"/>
  <c r="R92" i="1" s="1"/>
  <c r="C304" i="5"/>
  <c r="E303" i="5"/>
  <c r="I96" i="1"/>
  <c r="E315" i="5" s="1"/>
  <c r="CT91" i="1"/>
  <c r="H295" i="5"/>
  <c r="U293" i="5"/>
  <c r="H300" i="5" s="1"/>
  <c r="S293" i="5"/>
  <c r="H299" i="5" s="1"/>
  <c r="CT90" i="1"/>
  <c r="GK89" i="1"/>
  <c r="K286" i="5"/>
  <c r="L292" i="5"/>
  <c r="Q292" i="5" s="1"/>
  <c r="L290" i="5"/>
  <c r="CT89" i="1"/>
  <c r="S89" i="1" s="1"/>
  <c r="S282" i="5"/>
  <c r="H284" i="5"/>
  <c r="R284" i="5" s="1"/>
  <c r="U282" i="5"/>
  <c r="CR89" i="1"/>
  <c r="Q89" i="1" s="1"/>
  <c r="K285" i="5" s="1"/>
  <c r="H285" i="5"/>
  <c r="L251" i="5"/>
  <c r="Q251" i="5" s="1"/>
  <c r="L248" i="5"/>
  <c r="CD100" i="1"/>
  <c r="L207" i="5"/>
  <c r="Q207" i="5" s="1"/>
  <c r="L204" i="5"/>
  <c r="GK55" i="1"/>
  <c r="K165" i="5"/>
  <c r="L136" i="5"/>
  <c r="Q136" i="5" s="1"/>
  <c r="L133" i="5"/>
  <c r="GK43" i="1"/>
  <c r="K117" i="5"/>
  <c r="K85" i="5"/>
  <c r="K43" i="5"/>
  <c r="CZ30" i="1"/>
  <c r="Y30" i="1" s="1"/>
  <c r="V42" i="5" s="1"/>
  <c r="K47" i="5" s="1"/>
  <c r="L281" i="5"/>
  <c r="Q281" i="5" s="1"/>
  <c r="L280" i="5"/>
  <c r="H270" i="5"/>
  <c r="W270" i="5" s="1"/>
  <c r="H264" i="5"/>
  <c r="S263" i="5"/>
  <c r="U263" i="5"/>
  <c r="S261" i="5"/>
  <c r="U261" i="5"/>
  <c r="CT84" i="1"/>
  <c r="S84" i="1" s="1"/>
  <c r="S260" i="5"/>
  <c r="U260" i="5"/>
  <c r="L262" i="5"/>
  <c r="Q262" i="5" s="1"/>
  <c r="L259" i="5"/>
  <c r="H242" i="5"/>
  <c r="U240" i="5"/>
  <c r="S240" i="5"/>
  <c r="C241" i="5"/>
  <c r="E240" i="5"/>
  <c r="CT79" i="1"/>
  <c r="P77" i="1"/>
  <c r="C229" i="5"/>
  <c r="E228" i="5"/>
  <c r="H225" i="5"/>
  <c r="W225" i="5" s="1"/>
  <c r="S221" i="5"/>
  <c r="U221" i="5"/>
  <c r="CT69" i="1"/>
  <c r="CT68" i="1"/>
  <c r="S68" i="1" s="1"/>
  <c r="U218" i="5"/>
  <c r="S218" i="5"/>
  <c r="H218" i="5"/>
  <c r="W218" i="5" s="1"/>
  <c r="L227" i="5"/>
  <c r="Q227" i="5" s="1"/>
  <c r="L216" i="5"/>
  <c r="S208" i="5"/>
  <c r="H210" i="5"/>
  <c r="U208" i="5"/>
  <c r="C209" i="5"/>
  <c r="E208" i="5"/>
  <c r="AB65" i="1"/>
  <c r="BY100" i="1"/>
  <c r="GK63" i="1"/>
  <c r="K200" i="5"/>
  <c r="AD63" i="1"/>
  <c r="H200" i="5"/>
  <c r="R200" i="5" s="1"/>
  <c r="C197" i="5"/>
  <c r="E196" i="5"/>
  <c r="CS62" i="1"/>
  <c r="R62" i="1" s="1"/>
  <c r="H190" i="5"/>
  <c r="R190" i="5" s="1"/>
  <c r="C187" i="5"/>
  <c r="E186" i="5"/>
  <c r="S184" i="5"/>
  <c r="U184" i="5"/>
  <c r="S183" i="5"/>
  <c r="U183" i="5"/>
  <c r="K176" i="5"/>
  <c r="CS59" i="1"/>
  <c r="R59" i="1" s="1"/>
  <c r="H178" i="5"/>
  <c r="R178" i="5" s="1"/>
  <c r="CT56" i="1"/>
  <c r="L173" i="5"/>
  <c r="Q173" i="5" s="1"/>
  <c r="L169" i="5"/>
  <c r="CT55" i="1"/>
  <c r="H163" i="5"/>
  <c r="R163" i="5" s="1"/>
  <c r="U161" i="5"/>
  <c r="S161" i="5"/>
  <c r="CQ55" i="1"/>
  <c r="P55" i="1" s="1"/>
  <c r="K166" i="5" s="1"/>
  <c r="H166" i="5"/>
  <c r="C162" i="5"/>
  <c r="E161" i="5"/>
  <c r="CT53" i="1"/>
  <c r="S53" i="1" s="1"/>
  <c r="S158" i="5"/>
  <c r="U158" i="5"/>
  <c r="V53" i="1"/>
  <c r="E158" i="5"/>
  <c r="CS52" i="1"/>
  <c r="R52" i="1" s="1"/>
  <c r="H153" i="5"/>
  <c r="R153" i="5" s="1"/>
  <c r="C150" i="5"/>
  <c r="E149" i="5"/>
  <c r="R51" i="1"/>
  <c r="GK51" i="1" s="1"/>
  <c r="T51" i="1"/>
  <c r="CQ51" i="1"/>
  <c r="P51" i="1" s="1"/>
  <c r="H147" i="5"/>
  <c r="W147" i="5" s="1"/>
  <c r="GX50" i="1"/>
  <c r="U50" i="1"/>
  <c r="U146" i="5"/>
  <c r="S146" i="5"/>
  <c r="AD50" i="1"/>
  <c r="CR50" i="1" s="1"/>
  <c r="Q50" i="1" s="1"/>
  <c r="CS49" i="1"/>
  <c r="R49" i="1" s="1"/>
  <c r="H141" i="5"/>
  <c r="R141" i="5" s="1"/>
  <c r="CX109" i="3"/>
  <c r="C138" i="5"/>
  <c r="E137" i="5"/>
  <c r="AD48" i="1"/>
  <c r="CR48" i="1" s="1"/>
  <c r="V46" i="1"/>
  <c r="T46" i="1"/>
  <c r="H129" i="5"/>
  <c r="R129" i="5" s="1"/>
  <c r="L124" i="5"/>
  <c r="Q124" i="5" s="1"/>
  <c r="L121" i="5"/>
  <c r="CT43" i="1"/>
  <c r="S43" i="1" s="1"/>
  <c r="K115" i="5" s="1"/>
  <c r="S113" i="5"/>
  <c r="H115" i="5"/>
  <c r="U113" i="5"/>
  <c r="AD43" i="1"/>
  <c r="C114" i="5"/>
  <c r="E113" i="5"/>
  <c r="T41" i="1"/>
  <c r="CQ41" i="1"/>
  <c r="P41" i="1" s="1"/>
  <c r="H110" i="5"/>
  <c r="W110" i="5" s="1"/>
  <c r="GK40" i="1"/>
  <c r="L112" i="5"/>
  <c r="Q112" i="5" s="1"/>
  <c r="L109" i="5"/>
  <c r="H103" i="5"/>
  <c r="U101" i="5"/>
  <c r="S101" i="5"/>
  <c r="AD40" i="1"/>
  <c r="C102" i="5"/>
  <c r="E101" i="5"/>
  <c r="H93" i="5"/>
  <c r="U91" i="5"/>
  <c r="H98" i="5" s="1"/>
  <c r="S91" i="5"/>
  <c r="H97" i="5" s="1"/>
  <c r="CQ39" i="1"/>
  <c r="H96" i="5"/>
  <c r="C92" i="5"/>
  <c r="E91" i="5"/>
  <c r="CS38" i="1"/>
  <c r="R38" i="1" s="1"/>
  <c r="GK38" i="1" s="1"/>
  <c r="U37" i="1"/>
  <c r="W37" i="1"/>
  <c r="CT37" i="1"/>
  <c r="S37" i="1" s="1"/>
  <c r="U89" i="5"/>
  <c r="S89" i="5"/>
  <c r="CS36" i="1"/>
  <c r="R36" i="1" s="1"/>
  <c r="H84" i="5"/>
  <c r="R84" i="5" s="1"/>
  <c r="AB36" i="1"/>
  <c r="H85" i="5"/>
  <c r="U78" i="5"/>
  <c r="S78" i="5"/>
  <c r="U77" i="5"/>
  <c r="S77" i="5"/>
  <c r="AD34" i="1"/>
  <c r="CR34" i="1" s="1"/>
  <c r="Q34" i="1" s="1"/>
  <c r="CT33" i="1"/>
  <c r="S33" i="1" s="1"/>
  <c r="K70" i="5" s="1"/>
  <c r="S68" i="5"/>
  <c r="H70" i="5"/>
  <c r="U68" i="5"/>
  <c r="H75" i="5" s="1"/>
  <c r="C69" i="5"/>
  <c r="E68" i="5"/>
  <c r="CS32" i="1"/>
  <c r="R32" i="1" s="1"/>
  <c r="H63" i="5"/>
  <c r="R63" i="5" s="1"/>
  <c r="C60" i="5"/>
  <c r="E59" i="5"/>
  <c r="AB31" i="1"/>
  <c r="S50" i="5"/>
  <c r="H55" i="5" s="1"/>
  <c r="H52" i="5"/>
  <c r="U50" i="5"/>
  <c r="H56" i="5" s="1"/>
  <c r="CR31" i="1"/>
  <c r="H53" i="5"/>
  <c r="L49" i="5"/>
  <c r="Q49" i="5" s="1"/>
  <c r="L48" i="5"/>
  <c r="U42" i="5"/>
  <c r="H47" i="5" s="1"/>
  <c r="H43" i="5"/>
  <c r="S42" i="5"/>
  <c r="H46" i="5" s="1"/>
  <c r="AD30" i="1"/>
  <c r="CT29" i="1"/>
  <c r="S29" i="1" s="1"/>
  <c r="K35" i="5" s="1"/>
  <c r="H35" i="5"/>
  <c r="S34" i="5"/>
  <c r="H38" i="5" s="1"/>
  <c r="U34" i="5"/>
  <c r="H39" i="5" s="1"/>
  <c r="L33" i="5"/>
  <c r="Q33" i="5" s="1"/>
  <c r="L32" i="5"/>
  <c r="AD28" i="1"/>
  <c r="H29" i="5"/>
  <c r="R29" i="5" s="1"/>
  <c r="CX5" i="3"/>
  <c r="C26" i="5"/>
  <c r="E25" i="5"/>
  <c r="CX45" i="3"/>
  <c r="CX1" i="3"/>
  <c r="H355" i="5"/>
  <c r="R355" i="5" s="1"/>
  <c r="H356" i="5"/>
  <c r="CQ136" i="1"/>
  <c r="CT135" i="1"/>
  <c r="S340" i="5"/>
  <c r="H342" i="5"/>
  <c r="U340" i="5"/>
  <c r="C341" i="5"/>
  <c r="E340" i="5"/>
  <c r="U133" i="1"/>
  <c r="CT133" i="1"/>
  <c r="S329" i="5"/>
  <c r="H331" i="5"/>
  <c r="U329" i="5"/>
  <c r="GX98" i="1"/>
  <c r="V98" i="1"/>
  <c r="T98" i="1"/>
  <c r="R98" i="1"/>
  <c r="GK98" i="1" s="1"/>
  <c r="L326" i="5"/>
  <c r="Q326" i="5" s="1"/>
  <c r="L324" i="5"/>
  <c r="CT97" i="1"/>
  <c r="S97" i="1" s="1"/>
  <c r="K318" i="5" s="1"/>
  <c r="H318" i="5"/>
  <c r="R318" i="5" s="1"/>
  <c r="S317" i="5"/>
  <c r="H322" i="5" s="1"/>
  <c r="U317" i="5"/>
  <c r="H323" i="5" s="1"/>
  <c r="W96" i="1"/>
  <c r="CT96" i="1"/>
  <c r="S96" i="1" s="1"/>
  <c r="S315" i="5"/>
  <c r="U315" i="5"/>
  <c r="CT93" i="1"/>
  <c r="W92" i="1"/>
  <c r="CT92" i="1"/>
  <c r="S92" i="1" s="1"/>
  <c r="K305" i="5" s="1"/>
  <c r="H305" i="5"/>
  <c r="R305" i="5" s="1"/>
  <c r="U303" i="5"/>
  <c r="S303" i="5"/>
  <c r="CQ92" i="1"/>
  <c r="H308" i="5"/>
  <c r="C294" i="5"/>
  <c r="E293" i="5"/>
  <c r="P89" i="1"/>
  <c r="H286" i="5"/>
  <c r="R286" i="5" s="1"/>
  <c r="H287" i="5"/>
  <c r="H274" i="5"/>
  <c r="U272" i="5"/>
  <c r="H279" i="5" s="1"/>
  <c r="S272" i="5"/>
  <c r="H278" i="5" s="1"/>
  <c r="C273" i="5"/>
  <c r="E272" i="5"/>
  <c r="BZ100" i="1"/>
  <c r="CS87" i="1"/>
  <c r="R87" i="1" s="1"/>
  <c r="GK87" i="1" s="1"/>
  <c r="CT87" i="1"/>
  <c r="U270" i="5"/>
  <c r="S270" i="5"/>
  <c r="GX87" i="1"/>
  <c r="E270" i="5"/>
  <c r="CT86" i="1"/>
  <c r="S86" i="1" s="1"/>
  <c r="K264" i="5" s="1"/>
  <c r="CT85" i="1"/>
  <c r="S85" i="1" s="1"/>
  <c r="V85" i="1"/>
  <c r="T85" i="1"/>
  <c r="P84" i="1"/>
  <c r="CP84" i="1" s="1"/>
  <c r="O84" i="1" s="1"/>
  <c r="K260" i="5" s="1"/>
  <c r="H260" i="5"/>
  <c r="W260" i="5" s="1"/>
  <c r="H253" i="5"/>
  <c r="R253" i="5" s="1"/>
  <c r="S252" i="5"/>
  <c r="U252" i="5"/>
  <c r="H258" i="5" s="1"/>
  <c r="S250" i="5"/>
  <c r="I82" i="1"/>
  <c r="S82" i="1" s="1"/>
  <c r="CS81" i="1"/>
  <c r="R81" i="1" s="1"/>
  <c r="GK81" i="1" s="1"/>
  <c r="CT81" i="1"/>
  <c r="U249" i="5"/>
  <c r="I81" i="1"/>
  <c r="V81" i="1" s="1"/>
  <c r="CT80" i="1"/>
  <c r="S80" i="1" s="1"/>
  <c r="K242" i="5" s="1"/>
  <c r="V80" i="1"/>
  <c r="T80" i="1"/>
  <c r="H244" i="5"/>
  <c r="R244" i="5" s="1"/>
  <c r="CT78" i="1"/>
  <c r="CS77" i="1"/>
  <c r="R77" i="1" s="1"/>
  <c r="W77" i="1"/>
  <c r="U77" i="1"/>
  <c r="CT77" i="1"/>
  <c r="S77" i="1" s="1"/>
  <c r="K230" i="5" s="1"/>
  <c r="S228" i="5"/>
  <c r="H230" i="5"/>
  <c r="R230" i="5" s="1"/>
  <c r="U228" i="5"/>
  <c r="AD77" i="1"/>
  <c r="S226" i="5"/>
  <c r="I76" i="1"/>
  <c r="E226" i="5" s="1"/>
  <c r="U75" i="1"/>
  <c r="S225" i="5"/>
  <c r="U225" i="5"/>
  <c r="AD74" i="1"/>
  <c r="CR74" i="1" s="1"/>
  <c r="I74" i="1"/>
  <c r="E224" i="5" s="1"/>
  <c r="W73" i="1"/>
  <c r="CT73" i="1"/>
  <c r="S73" i="1" s="1"/>
  <c r="CY73" i="1" s="1"/>
  <c r="X73" i="1" s="1"/>
  <c r="T223" i="5" s="1"/>
  <c r="S223" i="5"/>
  <c r="U223" i="5"/>
  <c r="H223" i="5"/>
  <c r="W223" i="5" s="1"/>
  <c r="W72" i="1"/>
  <c r="U72" i="1"/>
  <c r="CT72" i="1"/>
  <c r="S72" i="1" s="1"/>
  <c r="U222" i="5"/>
  <c r="S222" i="5"/>
  <c r="H222" i="5"/>
  <c r="W222" i="5" s="1"/>
  <c r="T71" i="1"/>
  <c r="R71" i="1"/>
  <c r="GK71" i="1" s="1"/>
  <c r="AB71" i="1"/>
  <c r="H221" i="5"/>
  <c r="W221" i="5" s="1"/>
  <c r="GX70" i="1"/>
  <c r="U70" i="1"/>
  <c r="S220" i="5"/>
  <c r="U220" i="5"/>
  <c r="AD70" i="1"/>
  <c r="CR70" i="1" s="1"/>
  <c r="Q70" i="1" s="1"/>
  <c r="CQ69" i="1"/>
  <c r="I69" i="1"/>
  <c r="T69" i="1" s="1"/>
  <c r="V68" i="1"/>
  <c r="R68" i="1"/>
  <c r="GK68" i="1" s="1"/>
  <c r="T68" i="1"/>
  <c r="Q68" i="1"/>
  <c r="AB67" i="1"/>
  <c r="I67" i="1"/>
  <c r="E217" i="5" s="1"/>
  <c r="CT66" i="1"/>
  <c r="S66" i="1" s="1"/>
  <c r="V66" i="1"/>
  <c r="CS66" i="1"/>
  <c r="R66" i="1" s="1"/>
  <c r="H212" i="5"/>
  <c r="R212" i="5" s="1"/>
  <c r="H213" i="5"/>
  <c r="W63" i="1"/>
  <c r="CT63" i="1"/>
  <c r="S63" i="1" s="1"/>
  <c r="K198" i="5" s="1"/>
  <c r="S196" i="5"/>
  <c r="H198" i="5"/>
  <c r="R198" i="5" s="1"/>
  <c r="U196" i="5"/>
  <c r="H201" i="5"/>
  <c r="GX62" i="1"/>
  <c r="CY62" i="1"/>
  <c r="X62" i="1" s="1"/>
  <c r="T186" i="5" s="1"/>
  <c r="K192" i="5" s="1"/>
  <c r="S186" i="5"/>
  <c r="H192" i="5" s="1"/>
  <c r="H188" i="5"/>
  <c r="U186" i="5"/>
  <c r="H193" i="5" s="1"/>
  <c r="AD62" i="1"/>
  <c r="CT61" i="1"/>
  <c r="S61" i="1" s="1"/>
  <c r="CP61" i="1" s="1"/>
  <c r="O61" i="1" s="1"/>
  <c r="K184" i="5" s="1"/>
  <c r="H184" i="5"/>
  <c r="W184" i="5" s="1"/>
  <c r="CQ60" i="1"/>
  <c r="P60" i="1" s="1"/>
  <c r="CY59" i="1"/>
  <c r="X59" i="1" s="1"/>
  <c r="T174" i="5" s="1"/>
  <c r="L185" i="5"/>
  <c r="Q185" i="5" s="1"/>
  <c r="L182" i="5"/>
  <c r="H176" i="5"/>
  <c r="U174" i="5"/>
  <c r="H181" i="5" s="1"/>
  <c r="S174" i="5"/>
  <c r="AD59" i="1"/>
  <c r="C175" i="5"/>
  <c r="E174" i="5"/>
  <c r="AB57" i="1"/>
  <c r="CQ56" i="1"/>
  <c r="V55" i="1"/>
  <c r="AD55" i="1"/>
  <c r="H164" i="5" s="1"/>
  <c r="H165" i="5"/>
  <c r="R165" i="5" s="1"/>
  <c r="CT54" i="1"/>
  <c r="S54" i="1" s="1"/>
  <c r="S159" i="5"/>
  <c r="U159" i="5"/>
  <c r="CQ54" i="1"/>
  <c r="P54" i="1" s="1"/>
  <c r="CQ53" i="1"/>
  <c r="H158" i="5"/>
  <c r="W158" i="5" s="1"/>
  <c r="L160" i="5"/>
  <c r="Q160" i="5" s="1"/>
  <c r="L157" i="5"/>
  <c r="H151" i="5"/>
  <c r="R151" i="5" s="1"/>
  <c r="U149" i="5"/>
  <c r="S149" i="5"/>
  <c r="AD52" i="1"/>
  <c r="CT51" i="1"/>
  <c r="U147" i="5"/>
  <c r="S147" i="5"/>
  <c r="V51" i="1"/>
  <c r="E147" i="5"/>
  <c r="H146" i="5"/>
  <c r="W146" i="5" s="1"/>
  <c r="L148" i="5"/>
  <c r="Q148" i="5" s="1"/>
  <c r="L145" i="5"/>
  <c r="CT49" i="1"/>
  <c r="S49" i="1" s="1"/>
  <c r="S137" i="5"/>
  <c r="H139" i="5"/>
  <c r="R139" i="5" s="1"/>
  <c r="U137" i="5"/>
  <c r="CT47" i="1"/>
  <c r="CT46" i="1"/>
  <c r="S46" i="1" s="1"/>
  <c r="K127" i="5" s="1"/>
  <c r="H127" i="5"/>
  <c r="R127" i="5" s="1"/>
  <c r="U125" i="5"/>
  <c r="S125" i="5"/>
  <c r="CQ46" i="1"/>
  <c r="P46" i="1" s="1"/>
  <c r="K130" i="5" s="1"/>
  <c r="H130" i="5"/>
  <c r="C126" i="5"/>
  <c r="E125" i="5"/>
  <c r="CT45" i="1"/>
  <c r="CT44" i="1"/>
  <c r="CQ44" i="1"/>
  <c r="CQ43" i="1"/>
  <c r="P43" i="1" s="1"/>
  <c r="K118" i="5" s="1"/>
  <c r="H118" i="5"/>
  <c r="CT42" i="1"/>
  <c r="S42" i="1" s="1"/>
  <c r="S111" i="5"/>
  <c r="U111" i="5"/>
  <c r="CQ42" i="1"/>
  <c r="P42" i="1" s="1"/>
  <c r="CT41" i="1"/>
  <c r="S110" i="5"/>
  <c r="U110" i="5"/>
  <c r="AB40" i="1"/>
  <c r="H106" i="5"/>
  <c r="AD39" i="1"/>
  <c r="H94" i="5" s="1"/>
  <c r="H95" i="5"/>
  <c r="R95" i="5" s="1"/>
  <c r="CQ37" i="1"/>
  <c r="P37" i="1" s="1"/>
  <c r="H89" i="5"/>
  <c r="W89" i="5" s="1"/>
  <c r="L90" i="5"/>
  <c r="Q90" i="5" s="1"/>
  <c r="L88" i="5"/>
  <c r="S80" i="5"/>
  <c r="H86" i="5" s="1"/>
  <c r="H82" i="5"/>
  <c r="R82" i="5" s="1"/>
  <c r="U80" i="5"/>
  <c r="H87" i="5" s="1"/>
  <c r="CR36" i="1"/>
  <c r="Q36" i="1" s="1"/>
  <c r="K83" i="5" s="1"/>
  <c r="H83" i="5"/>
  <c r="C81" i="5"/>
  <c r="E80" i="5"/>
  <c r="H78" i="5"/>
  <c r="W78" i="5" s="1"/>
  <c r="AB34" i="1"/>
  <c r="H77" i="5"/>
  <c r="W77" i="5" s="1"/>
  <c r="L79" i="5"/>
  <c r="Q79" i="5" s="1"/>
  <c r="L76" i="5"/>
  <c r="U32" i="1"/>
  <c r="S59" i="5"/>
  <c r="H64" i="5" s="1"/>
  <c r="H61" i="5"/>
  <c r="U59" i="5"/>
  <c r="H65" i="5" s="1"/>
  <c r="AD32" i="1"/>
  <c r="C51" i="5"/>
  <c r="E50" i="5"/>
  <c r="AB30" i="1"/>
  <c r="L41" i="5"/>
  <c r="Q41" i="5" s="1"/>
  <c r="L40" i="5"/>
  <c r="CP29" i="1"/>
  <c r="O29" i="1" s="1"/>
  <c r="K37" i="5"/>
  <c r="S25" i="5"/>
  <c r="H30" i="5" s="1"/>
  <c r="H27" i="5"/>
  <c r="U25" i="5"/>
  <c r="H31" i="5" s="1"/>
  <c r="CC303" i="1"/>
  <c r="AT313" i="1"/>
  <c r="CP356" i="1"/>
  <c r="O356" i="1" s="1"/>
  <c r="CZ348" i="1"/>
  <c r="Y348" i="1" s="1"/>
  <c r="V655" i="5" s="1"/>
  <c r="CY348" i="1"/>
  <c r="X348" i="1" s="1"/>
  <c r="T655" i="5" s="1"/>
  <c r="CZ264" i="1"/>
  <c r="Y264" i="1" s="1"/>
  <c r="V595" i="5" s="1"/>
  <c r="CY264" i="1"/>
  <c r="X264" i="1" s="1"/>
  <c r="T595" i="5" s="1"/>
  <c r="CZ262" i="1"/>
  <c r="Y262" i="1" s="1"/>
  <c r="V592" i="5" s="1"/>
  <c r="CY262" i="1"/>
  <c r="X262" i="1" s="1"/>
  <c r="T592" i="5" s="1"/>
  <c r="CZ256" i="1"/>
  <c r="Y256" i="1" s="1"/>
  <c r="V577" i="5" s="1"/>
  <c r="CY256" i="1"/>
  <c r="X256" i="1" s="1"/>
  <c r="T577" i="5" s="1"/>
  <c r="CZ254" i="1"/>
  <c r="Y254" i="1" s="1"/>
  <c r="V566" i="5" s="1"/>
  <c r="CY254" i="1"/>
  <c r="X254" i="1" s="1"/>
  <c r="T566" i="5" s="1"/>
  <c r="CZ243" i="1"/>
  <c r="Y243" i="1" s="1"/>
  <c r="V541" i="5" s="1"/>
  <c r="CY243" i="1"/>
  <c r="X243" i="1" s="1"/>
  <c r="T541" i="5" s="1"/>
  <c r="CZ354" i="1"/>
  <c r="Y354" i="1" s="1"/>
  <c r="V678" i="5" s="1"/>
  <c r="CY354" i="1"/>
  <c r="X354" i="1" s="1"/>
  <c r="T678" i="5" s="1"/>
  <c r="CP354" i="1"/>
  <c r="O354" i="1" s="1"/>
  <c r="K678" i="5" s="1"/>
  <c r="CC344" i="1"/>
  <c r="AT358" i="1"/>
  <c r="CZ355" i="1"/>
  <c r="Y355" i="1" s="1"/>
  <c r="CY355" i="1"/>
  <c r="X355" i="1" s="1"/>
  <c r="CZ307" i="1"/>
  <c r="Y307" i="1" s="1"/>
  <c r="V622" i="5" s="1"/>
  <c r="CY307" i="1"/>
  <c r="X307" i="1" s="1"/>
  <c r="T622" i="5" s="1"/>
  <c r="V313" i="1"/>
  <c r="AI303" i="1"/>
  <c r="CZ238" i="1"/>
  <c r="Y238" i="1" s="1"/>
  <c r="V519" i="5" s="1"/>
  <c r="CY238" i="1"/>
  <c r="X238" i="1" s="1"/>
  <c r="T519" i="5" s="1"/>
  <c r="CX516" i="3"/>
  <c r="CX520" i="3"/>
  <c r="CX517" i="3"/>
  <c r="CX521" i="3"/>
  <c r="CX519" i="3"/>
  <c r="CX518" i="3"/>
  <c r="CY311" i="1"/>
  <c r="X311" i="1" s="1"/>
  <c r="T633" i="5" s="1"/>
  <c r="CZ311" i="1"/>
  <c r="Y311" i="1" s="1"/>
  <c r="V633" i="5" s="1"/>
  <c r="AF313" i="1"/>
  <c r="CP255" i="1"/>
  <c r="O255" i="1" s="1"/>
  <c r="AB254" i="1"/>
  <c r="CQ254" i="1"/>
  <c r="P254" i="1" s="1"/>
  <c r="CP254" i="1" s="1"/>
  <c r="O254" i="1" s="1"/>
  <c r="K566" i="5" s="1"/>
  <c r="AB251" i="1"/>
  <c r="CQ251" i="1"/>
  <c r="CZ245" i="1"/>
  <c r="Y245" i="1" s="1"/>
  <c r="V544" i="5" s="1"/>
  <c r="CY245" i="1"/>
  <c r="X245" i="1" s="1"/>
  <c r="T544" i="5" s="1"/>
  <c r="CP242" i="1"/>
  <c r="O242" i="1" s="1"/>
  <c r="CQ238" i="1"/>
  <c r="P238" i="1" s="1"/>
  <c r="CP238" i="1" s="1"/>
  <c r="O238" i="1" s="1"/>
  <c r="K519" i="5" s="1"/>
  <c r="AB238" i="1"/>
  <c r="AH193" i="1"/>
  <c r="U199" i="1"/>
  <c r="BY26" i="1"/>
  <c r="CI100" i="1"/>
  <c r="AP100" i="1"/>
  <c r="CG358" i="1"/>
  <c r="AB348" i="1"/>
  <c r="CQ348" i="1"/>
  <c r="P348" i="1" s="1"/>
  <c r="CK303" i="1"/>
  <c r="BB313" i="1"/>
  <c r="AJ313" i="1"/>
  <c r="CI358" i="1"/>
  <c r="BC358" i="1"/>
  <c r="AU358" i="1"/>
  <c r="AQ358" i="1"/>
  <c r="CQ353" i="1"/>
  <c r="CX536" i="3"/>
  <c r="CX540" i="3"/>
  <c r="CX533" i="3"/>
  <c r="CX537" i="3"/>
  <c r="CX541" i="3"/>
  <c r="CX535" i="3"/>
  <c r="CX539" i="3"/>
  <c r="CX538" i="3"/>
  <c r="CX542" i="3"/>
  <c r="CX534" i="3"/>
  <c r="I353" i="1"/>
  <c r="I352" i="1"/>
  <c r="E676" i="5" s="1"/>
  <c r="U349" i="1"/>
  <c r="W349" i="1"/>
  <c r="S349" i="1"/>
  <c r="AD346" i="1"/>
  <c r="H640" i="5" s="1"/>
  <c r="CS346" i="1"/>
  <c r="R346" i="1" s="1"/>
  <c r="K641" i="5" s="1"/>
  <c r="F317" i="1"/>
  <c r="CP311" i="1"/>
  <c r="O311" i="1" s="1"/>
  <c r="K633" i="5" s="1"/>
  <c r="AB311" i="1"/>
  <c r="CY306" i="1"/>
  <c r="X306" i="1" s="1"/>
  <c r="T621" i="5" s="1"/>
  <c r="CZ306" i="1"/>
  <c r="Y306" i="1" s="1"/>
  <c r="V621" i="5" s="1"/>
  <c r="CD313" i="1"/>
  <c r="AG313" i="1"/>
  <c r="AH313" i="1"/>
  <c r="AB268" i="1"/>
  <c r="CQ268" i="1"/>
  <c r="P268" i="1" s="1"/>
  <c r="CP268" i="1" s="1"/>
  <c r="O268" i="1" s="1"/>
  <c r="K607" i="5" s="1"/>
  <c r="GX266" i="1"/>
  <c r="P266" i="1"/>
  <c r="T265" i="1"/>
  <c r="Q265" i="1"/>
  <c r="GX263" i="1"/>
  <c r="U263" i="1"/>
  <c r="W263" i="1"/>
  <c r="S263" i="1"/>
  <c r="T257" i="1"/>
  <c r="Q257" i="1"/>
  <c r="CY255" i="1"/>
  <c r="X255" i="1" s="1"/>
  <c r="T568" i="5" s="1"/>
  <c r="CZ255" i="1"/>
  <c r="Y255" i="1" s="1"/>
  <c r="V568" i="5" s="1"/>
  <c r="CY253" i="1"/>
  <c r="X253" i="1" s="1"/>
  <c r="T559" i="5" s="1"/>
  <c r="K563" i="5" s="1"/>
  <c r="CZ253" i="1"/>
  <c r="Y253" i="1" s="1"/>
  <c r="V559" i="5" s="1"/>
  <c r="U252" i="1"/>
  <c r="W252" i="1"/>
  <c r="S252" i="1"/>
  <c r="AB250" i="1"/>
  <c r="V247" i="1"/>
  <c r="CR247" i="1"/>
  <c r="Q247" i="1" s="1"/>
  <c r="AB247" i="1"/>
  <c r="T245" i="1"/>
  <c r="R241" i="1"/>
  <c r="GK241" i="1" s="1"/>
  <c r="CZ240" i="1"/>
  <c r="Y240" i="1" s="1"/>
  <c r="V522" i="5" s="1"/>
  <c r="CY240" i="1"/>
  <c r="X240" i="1" s="1"/>
  <c r="T522" i="5" s="1"/>
  <c r="GK233" i="1"/>
  <c r="CZ233" i="1"/>
  <c r="Y233" i="1" s="1"/>
  <c r="V498" i="5" s="1"/>
  <c r="K504" i="5" s="1"/>
  <c r="BX193" i="1"/>
  <c r="AO199" i="1"/>
  <c r="CG199" i="1"/>
  <c r="CI199" i="1"/>
  <c r="AP199" i="1"/>
  <c r="BY193" i="1"/>
  <c r="BZ131" i="1"/>
  <c r="CG162" i="1"/>
  <c r="AQ162" i="1"/>
  <c r="CZ160" i="1"/>
  <c r="Y160" i="1" s="1"/>
  <c r="V464" i="5" s="1"/>
  <c r="CY160" i="1"/>
  <c r="X160" i="1" s="1"/>
  <c r="T464" i="5" s="1"/>
  <c r="BY131" i="1"/>
  <c r="CI162" i="1"/>
  <c r="AP162" i="1"/>
  <c r="P347" i="1"/>
  <c r="BY303" i="1"/>
  <c r="AP313" i="1"/>
  <c r="CZ310" i="1"/>
  <c r="Y310" i="1" s="1"/>
  <c r="V632" i="5" s="1"/>
  <c r="CY310" i="1"/>
  <c r="X310" i="1" s="1"/>
  <c r="T632" i="5" s="1"/>
  <c r="CP306" i="1"/>
  <c r="O306" i="1" s="1"/>
  <c r="K621" i="5" s="1"/>
  <c r="AB264" i="1"/>
  <c r="CQ264" i="1"/>
  <c r="P264" i="1" s="1"/>
  <c r="AB260" i="1"/>
  <c r="CQ260" i="1"/>
  <c r="P260" i="1" s="1"/>
  <c r="AD258" i="1"/>
  <c r="CR258" i="1" s="1"/>
  <c r="Q258" i="1" s="1"/>
  <c r="CP258" i="1" s="1"/>
  <c r="O258" i="1" s="1"/>
  <c r="K579" i="5" s="1"/>
  <c r="CS258" i="1"/>
  <c r="R258" i="1" s="1"/>
  <c r="CY258" i="1" s="1"/>
  <c r="X258" i="1" s="1"/>
  <c r="T579" i="5" s="1"/>
  <c r="CP253" i="1"/>
  <c r="O253" i="1" s="1"/>
  <c r="R247" i="1"/>
  <c r="GK247" i="1" s="1"/>
  <c r="U247" i="1"/>
  <c r="CQ243" i="1"/>
  <c r="P243" i="1" s="1"/>
  <c r="CP243" i="1" s="1"/>
  <c r="O243" i="1" s="1"/>
  <c r="K541" i="5" s="1"/>
  <c r="AB243" i="1"/>
  <c r="CZ242" i="1"/>
  <c r="Y242" i="1" s="1"/>
  <c r="V532" i="5" s="1"/>
  <c r="CY242" i="1"/>
  <c r="X242" i="1" s="1"/>
  <c r="T532" i="5" s="1"/>
  <c r="BY272" i="1"/>
  <c r="CZ195" i="1"/>
  <c r="Y195" i="1" s="1"/>
  <c r="V468" i="5" s="1"/>
  <c r="K471" i="5" s="1"/>
  <c r="CY195" i="1"/>
  <c r="X195" i="1" s="1"/>
  <c r="T468" i="5" s="1"/>
  <c r="K470" i="5" s="1"/>
  <c r="AF199" i="1"/>
  <c r="AB355" i="1"/>
  <c r="CY269" i="1"/>
  <c r="X269" i="1" s="1"/>
  <c r="T608" i="5" s="1"/>
  <c r="CZ269" i="1"/>
  <c r="Y269" i="1" s="1"/>
  <c r="V608" i="5" s="1"/>
  <c r="CZ268" i="1"/>
  <c r="Y268" i="1" s="1"/>
  <c r="V607" i="5" s="1"/>
  <c r="CY268" i="1"/>
  <c r="X268" i="1" s="1"/>
  <c r="T607" i="5" s="1"/>
  <c r="S266" i="1"/>
  <c r="V266" i="1"/>
  <c r="AD266" i="1"/>
  <c r="CR266" i="1" s="1"/>
  <c r="Q266" i="1" s="1"/>
  <c r="CS266" i="1"/>
  <c r="R266" i="1" s="1"/>
  <c r="GK266" i="1" s="1"/>
  <c r="P265" i="1"/>
  <c r="AB262" i="1"/>
  <c r="CQ262" i="1"/>
  <c r="P262" i="1" s="1"/>
  <c r="CP262" i="1" s="1"/>
  <c r="O262" i="1" s="1"/>
  <c r="K592" i="5" s="1"/>
  <c r="CP261" i="1"/>
  <c r="O261" i="1" s="1"/>
  <c r="AB259" i="1"/>
  <c r="P257" i="1"/>
  <c r="AB255" i="1"/>
  <c r="AB253" i="1"/>
  <c r="CD272" i="1"/>
  <c r="AD249" i="1"/>
  <c r="CR249" i="1" s="1"/>
  <c r="CS249" i="1"/>
  <c r="P247" i="1"/>
  <c r="CQ246" i="1"/>
  <c r="AB246" i="1"/>
  <c r="CX431" i="3"/>
  <c r="CX435" i="3"/>
  <c r="CX439" i="3"/>
  <c r="CX432" i="3"/>
  <c r="CX436" i="3"/>
  <c r="CX440" i="3"/>
  <c r="CX434" i="3"/>
  <c r="CX438" i="3"/>
  <c r="CX441" i="3"/>
  <c r="CX437" i="3"/>
  <c r="CX433" i="3"/>
  <c r="I248" i="1"/>
  <c r="U553" i="5" s="1"/>
  <c r="I246" i="1"/>
  <c r="I250" i="1"/>
  <c r="S555" i="5" s="1"/>
  <c r="I251" i="1"/>
  <c r="GX245" i="1"/>
  <c r="I249" i="1"/>
  <c r="BZ272" i="1"/>
  <c r="GK195" i="1"/>
  <c r="AE199" i="1"/>
  <c r="CL131" i="1"/>
  <c r="BC162" i="1"/>
  <c r="AB96" i="1"/>
  <c r="CY92" i="1"/>
  <c r="X92" i="1" s="1"/>
  <c r="T303" i="5" s="1"/>
  <c r="CZ92" i="1"/>
  <c r="Y92" i="1" s="1"/>
  <c r="V303" i="5" s="1"/>
  <c r="BZ26" i="1"/>
  <c r="AQ100" i="1"/>
  <c r="AD78" i="1"/>
  <c r="CR78" i="1" s="1"/>
  <c r="CS78" i="1"/>
  <c r="U347" i="1"/>
  <c r="AB307" i="1"/>
  <c r="CQ307" i="1"/>
  <c r="P307" i="1" s="1"/>
  <c r="CP307" i="1" s="1"/>
  <c r="O307" i="1" s="1"/>
  <c r="K622" i="5" s="1"/>
  <c r="AD305" i="1"/>
  <c r="CS305" i="1"/>
  <c r="R305" i="1" s="1"/>
  <c r="K616" i="5" s="1"/>
  <c r="AD270" i="1"/>
  <c r="CR270" i="1" s="1"/>
  <c r="CS270" i="1"/>
  <c r="CY261" i="1"/>
  <c r="X261" i="1" s="1"/>
  <c r="T583" i="5" s="1"/>
  <c r="AB256" i="1"/>
  <c r="CQ256" i="1"/>
  <c r="P256" i="1" s="1"/>
  <c r="CP256" i="1" s="1"/>
  <c r="O256" i="1" s="1"/>
  <c r="K577" i="5" s="1"/>
  <c r="R251" i="1"/>
  <c r="GK251" i="1" s="1"/>
  <c r="GX247" i="1"/>
  <c r="AD193" i="1"/>
  <c r="Q199" i="1"/>
  <c r="CD131" i="1"/>
  <c r="AU162" i="1"/>
  <c r="T347" i="1"/>
  <c r="CY309" i="1"/>
  <c r="X309" i="1" s="1"/>
  <c r="AB306" i="1"/>
  <c r="AB305" i="1"/>
  <c r="S352" i="1"/>
  <c r="V352" i="1"/>
  <c r="R352" i="1"/>
  <c r="GK352" i="1" s="1"/>
  <c r="T351" i="1"/>
  <c r="W351" i="1"/>
  <c r="S351" i="1"/>
  <c r="K669" i="5" s="1"/>
  <c r="GX350" i="1"/>
  <c r="W350" i="1"/>
  <c r="AD350" i="1"/>
  <c r="CR350" i="1" s="1"/>
  <c r="Q350" i="1" s="1"/>
  <c r="P349" i="1"/>
  <c r="CP349" i="1" s="1"/>
  <c r="O349" i="1" s="1"/>
  <c r="K664" i="5" s="1"/>
  <c r="AB349" i="1"/>
  <c r="W347" i="1"/>
  <c r="S347" i="1"/>
  <c r="K648" i="5" s="1"/>
  <c r="CY346" i="1"/>
  <c r="X346" i="1" s="1"/>
  <c r="T637" i="5" s="1"/>
  <c r="K642" i="5" s="1"/>
  <c r="AB310" i="1"/>
  <c r="CQ310" i="1"/>
  <c r="P310" i="1" s="1"/>
  <c r="CP310" i="1" s="1"/>
  <c r="O310" i="1" s="1"/>
  <c r="K632" i="5" s="1"/>
  <c r="AD308" i="1"/>
  <c r="CS308" i="1"/>
  <c r="R308" i="1" s="1"/>
  <c r="K627" i="5" s="1"/>
  <c r="CJ313" i="1"/>
  <c r="BZ313" i="1"/>
  <c r="BX230" i="1"/>
  <c r="AO272" i="1"/>
  <c r="CG272" i="1"/>
  <c r="T269" i="1"/>
  <c r="Q269" i="1"/>
  <c r="CP269" i="1" s="1"/>
  <c r="O269" i="1" s="1"/>
  <c r="K608" i="5" s="1"/>
  <c r="W266" i="1"/>
  <c r="U265" i="1"/>
  <c r="W265" i="1"/>
  <c r="S265" i="1"/>
  <c r="P263" i="1"/>
  <c r="CP263" i="1" s="1"/>
  <c r="O263" i="1" s="1"/>
  <c r="K593" i="5" s="1"/>
  <c r="AB263" i="1"/>
  <c r="AB261" i="1"/>
  <c r="U257" i="1"/>
  <c r="W257" i="1"/>
  <c r="S257" i="1"/>
  <c r="P252" i="1"/>
  <c r="AB252" i="1"/>
  <c r="U251" i="1"/>
  <c r="W250" i="1"/>
  <c r="R250" i="1"/>
  <c r="GK250" i="1" s="1"/>
  <c r="U250" i="1"/>
  <c r="Q250" i="1"/>
  <c r="W249" i="1"/>
  <c r="AB249" i="1"/>
  <c r="V245" i="1"/>
  <c r="P245" i="1"/>
  <c r="CP244" i="1"/>
  <c r="O244" i="1" s="1"/>
  <c r="K542" i="5" s="1"/>
  <c r="U241" i="1"/>
  <c r="Q241" i="1"/>
  <c r="AB240" i="1"/>
  <c r="CQ240" i="1"/>
  <c r="P240" i="1" s="1"/>
  <c r="GK239" i="1"/>
  <c r="CZ239" i="1"/>
  <c r="Y239" i="1" s="1"/>
  <c r="V520" i="5" s="1"/>
  <c r="CP239" i="1"/>
  <c r="O239" i="1" s="1"/>
  <c r="K520" i="5" s="1"/>
  <c r="CZ234" i="1"/>
  <c r="Y234" i="1" s="1"/>
  <c r="V507" i="5" s="1"/>
  <c r="CY234" i="1"/>
  <c r="X234" i="1" s="1"/>
  <c r="T507" i="5" s="1"/>
  <c r="AB234" i="1"/>
  <c r="CP232" i="1"/>
  <c r="O232" i="1" s="1"/>
  <c r="CJ199" i="1"/>
  <c r="AT199" i="1"/>
  <c r="CC193" i="1"/>
  <c r="AJ199" i="1"/>
  <c r="CX513" i="3"/>
  <c r="CX515" i="3"/>
  <c r="CX514" i="3"/>
  <c r="F288" i="1"/>
  <c r="I270" i="1"/>
  <c r="V248" i="1"/>
  <c r="W247" i="1"/>
  <c r="S247" i="1"/>
  <c r="AB242" i="1"/>
  <c r="AB237" i="1"/>
  <c r="CS235" i="1"/>
  <c r="R235" i="1" s="1"/>
  <c r="P235" i="1"/>
  <c r="CP235" i="1" s="1"/>
  <c r="O235" i="1" s="1"/>
  <c r="K516" i="5" s="1"/>
  <c r="T234" i="1"/>
  <c r="P234" i="1"/>
  <c r="CX395" i="3"/>
  <c r="CX396" i="3"/>
  <c r="CX397" i="3"/>
  <c r="CP197" i="1"/>
  <c r="O197" i="1" s="1"/>
  <c r="AB196" i="1"/>
  <c r="CK193" i="1"/>
  <c r="AB159" i="1"/>
  <c r="CY157" i="1"/>
  <c r="X157" i="1" s="1"/>
  <c r="T444" i="5" s="1"/>
  <c r="CZ157" i="1"/>
  <c r="Y157" i="1" s="1"/>
  <c r="V444" i="5" s="1"/>
  <c r="CZ155" i="1"/>
  <c r="Y155" i="1" s="1"/>
  <c r="CZ141" i="1"/>
  <c r="Y141" i="1" s="1"/>
  <c r="V373" i="5" s="1"/>
  <c r="CY141" i="1"/>
  <c r="X141" i="1" s="1"/>
  <c r="T373" i="5" s="1"/>
  <c r="AD140" i="1"/>
  <c r="CR140" i="1" s="1"/>
  <c r="CS140" i="1"/>
  <c r="CB162" i="1"/>
  <c r="R135" i="1"/>
  <c r="CZ98" i="1"/>
  <c r="Y98" i="1" s="1"/>
  <c r="V325" i="5" s="1"/>
  <c r="CY98" i="1"/>
  <c r="X98" i="1" s="1"/>
  <c r="T325" i="5" s="1"/>
  <c r="CZ97" i="1"/>
  <c r="Y97" i="1" s="1"/>
  <c r="V317" i="5" s="1"/>
  <c r="CY97" i="1"/>
  <c r="X97" i="1" s="1"/>
  <c r="T317" i="5" s="1"/>
  <c r="CX524" i="3"/>
  <c r="CX528" i="3"/>
  <c r="CX532" i="3"/>
  <c r="CX525" i="3"/>
  <c r="CX529" i="3"/>
  <c r="CX523" i="3"/>
  <c r="CX527" i="3"/>
  <c r="CX531" i="3"/>
  <c r="CX522" i="3"/>
  <c r="CX526" i="3"/>
  <c r="CX530" i="3"/>
  <c r="CL303" i="1"/>
  <c r="CX480" i="3"/>
  <c r="CX484" i="3"/>
  <c r="CX488" i="3"/>
  <c r="CX492" i="3"/>
  <c r="CX496" i="3"/>
  <c r="CX481" i="3"/>
  <c r="CX485" i="3"/>
  <c r="CX489" i="3"/>
  <c r="CX493" i="3"/>
  <c r="CX483" i="3"/>
  <c r="CX487" i="3"/>
  <c r="CX491" i="3"/>
  <c r="CX495" i="3"/>
  <c r="CX490" i="3"/>
  <c r="CX494" i="3"/>
  <c r="CX486" i="3"/>
  <c r="CX482" i="3"/>
  <c r="AB248" i="1"/>
  <c r="T246" i="1"/>
  <c r="U245" i="1"/>
  <c r="Q245" i="1"/>
  <c r="T241" i="1"/>
  <c r="P241" i="1"/>
  <c r="CP241" i="1" s="1"/>
  <c r="O241" i="1" s="1"/>
  <c r="K530" i="5" s="1"/>
  <c r="BB193" i="1"/>
  <c r="F212" i="1"/>
  <c r="AI193" i="1"/>
  <c r="V199" i="1"/>
  <c r="CY197" i="1"/>
  <c r="X197" i="1" s="1"/>
  <c r="T481" i="5" s="1"/>
  <c r="K483" i="5" s="1"/>
  <c r="CZ197" i="1"/>
  <c r="Y197" i="1" s="1"/>
  <c r="V481" i="5" s="1"/>
  <c r="K484" i="5" s="1"/>
  <c r="AQ199" i="1"/>
  <c r="BZ193" i="1"/>
  <c r="AG199" i="1"/>
  <c r="AB195" i="1"/>
  <c r="CQ195" i="1"/>
  <c r="P195" i="1" s="1"/>
  <c r="AS193" i="1"/>
  <c r="AB160" i="1"/>
  <c r="CQ160" i="1"/>
  <c r="P160" i="1" s="1"/>
  <c r="CP160" i="1" s="1"/>
  <c r="O160" i="1" s="1"/>
  <c r="K464" i="5" s="1"/>
  <c r="CZ154" i="1"/>
  <c r="Y154" i="1" s="1"/>
  <c r="V433" i="5" s="1"/>
  <c r="CY154" i="1"/>
  <c r="X154" i="1" s="1"/>
  <c r="T433" i="5" s="1"/>
  <c r="AB154" i="1"/>
  <c r="CZ152" i="1"/>
  <c r="Y152" i="1" s="1"/>
  <c r="V422" i="5" s="1"/>
  <c r="CY152" i="1"/>
  <c r="X152" i="1" s="1"/>
  <c r="T422" i="5" s="1"/>
  <c r="AB152" i="1"/>
  <c r="CZ150" i="1"/>
  <c r="Y150" i="1" s="1"/>
  <c r="V411" i="5" s="1"/>
  <c r="CY150" i="1"/>
  <c r="X150" i="1" s="1"/>
  <c r="T411" i="5" s="1"/>
  <c r="AB150" i="1"/>
  <c r="GK148" i="1"/>
  <c r="CY148" i="1"/>
  <c r="X148" i="1" s="1"/>
  <c r="T403" i="5" s="1"/>
  <c r="CR148" i="1"/>
  <c r="Q148" i="1" s="1"/>
  <c r="AB148" i="1"/>
  <c r="CQ146" i="1"/>
  <c r="P146" i="1" s="1"/>
  <c r="CQ144" i="1"/>
  <c r="P144" i="1" s="1"/>
  <c r="GK143" i="1"/>
  <c r="CY143" i="1"/>
  <c r="X143" i="1" s="1"/>
  <c r="T381" i="5" s="1"/>
  <c r="AB143" i="1"/>
  <c r="CR143" i="1"/>
  <c r="Q143" i="1" s="1"/>
  <c r="K383" i="5" s="1"/>
  <c r="CX283" i="3"/>
  <c r="CX287" i="3"/>
  <c r="CX291" i="3"/>
  <c r="CX284" i="3"/>
  <c r="CX288" i="3"/>
  <c r="CX282" i="3"/>
  <c r="CX286" i="3"/>
  <c r="CX290" i="3"/>
  <c r="CX289" i="3"/>
  <c r="CX285" i="3"/>
  <c r="CX281" i="3"/>
  <c r="I136" i="1"/>
  <c r="S349" i="5" s="1"/>
  <c r="GX135" i="1"/>
  <c r="GK133" i="1"/>
  <c r="BB272" i="1"/>
  <c r="I267" i="1"/>
  <c r="H606" i="5" s="1"/>
  <c r="W606" i="5" s="1"/>
  <c r="CX472" i="3"/>
  <c r="CX476" i="3"/>
  <c r="CX473" i="3"/>
  <c r="CX477" i="3"/>
  <c r="CX475" i="3"/>
  <c r="CX479" i="3"/>
  <c r="CX474" i="3"/>
  <c r="CX478" i="3"/>
  <c r="CX459" i="3"/>
  <c r="CX460" i="3"/>
  <c r="CX458" i="3"/>
  <c r="CX464" i="3"/>
  <c r="CX468" i="3"/>
  <c r="CX461" i="3"/>
  <c r="CX465" i="3"/>
  <c r="CX469" i="3"/>
  <c r="CX463" i="3"/>
  <c r="CX467" i="3"/>
  <c r="CX471" i="3"/>
  <c r="CX462" i="3"/>
  <c r="CX470" i="3"/>
  <c r="CX466" i="3"/>
  <c r="CY244" i="1"/>
  <c r="X244" i="1" s="1"/>
  <c r="T542" i="5" s="1"/>
  <c r="AB241" i="1"/>
  <c r="CY239" i="1"/>
  <c r="X239" i="1" s="1"/>
  <c r="T520" i="5" s="1"/>
  <c r="CX399" i="3"/>
  <c r="CX403" i="3"/>
  <c r="CX407" i="3"/>
  <c r="CX411" i="3"/>
  <c r="CX400" i="3"/>
  <c r="CX404" i="3"/>
  <c r="CX408" i="3"/>
  <c r="CX412" i="3"/>
  <c r="CX398" i="3"/>
  <c r="CX402" i="3"/>
  <c r="CX406" i="3"/>
  <c r="CX410" i="3"/>
  <c r="CX414" i="3"/>
  <c r="CX401" i="3"/>
  <c r="CX405" i="3"/>
  <c r="CX413" i="3"/>
  <c r="CX409" i="3"/>
  <c r="I237" i="1"/>
  <c r="E518" i="5" s="1"/>
  <c r="I236" i="1"/>
  <c r="CY233" i="1"/>
  <c r="X233" i="1" s="1"/>
  <c r="T498" i="5" s="1"/>
  <c r="K503" i="5" s="1"/>
  <c r="CZ196" i="1"/>
  <c r="Y196" i="1" s="1"/>
  <c r="V474" i="5" s="1"/>
  <c r="K478" i="5" s="1"/>
  <c r="CP196" i="1"/>
  <c r="O196" i="1" s="1"/>
  <c r="CZ159" i="1"/>
  <c r="Y159" i="1" s="1"/>
  <c r="V455" i="5" s="1"/>
  <c r="K462" i="5" s="1"/>
  <c r="CP159" i="1"/>
  <c r="O159" i="1" s="1"/>
  <c r="CP158" i="1"/>
  <c r="O158" i="1" s="1"/>
  <c r="K453" i="5" s="1"/>
  <c r="P142" i="1"/>
  <c r="CY137" i="1"/>
  <c r="X137" i="1" s="1"/>
  <c r="T351" i="5" s="1"/>
  <c r="CZ137" i="1"/>
  <c r="Y137" i="1" s="1"/>
  <c r="V351" i="5" s="1"/>
  <c r="AB137" i="1"/>
  <c r="CL26" i="1"/>
  <c r="BC100" i="1"/>
  <c r="CQ98" i="1"/>
  <c r="P98" i="1" s="1"/>
  <c r="CQ76" i="1"/>
  <c r="P76" i="1" s="1"/>
  <c r="CX392" i="3"/>
  <c r="CX394" i="3"/>
  <c r="CX393" i="3"/>
  <c r="CL193" i="1"/>
  <c r="CX371" i="3"/>
  <c r="CX375" i="3"/>
  <c r="CX372" i="3"/>
  <c r="CX376" i="3"/>
  <c r="CX370" i="3"/>
  <c r="CX374" i="3"/>
  <c r="CX373" i="3"/>
  <c r="CX377" i="3"/>
  <c r="AB155" i="1"/>
  <c r="CQ153" i="1"/>
  <c r="P153" i="1" s="1"/>
  <c r="CQ151" i="1"/>
  <c r="P151" i="1" s="1"/>
  <c r="K418" i="5" s="1"/>
  <c r="CQ149" i="1"/>
  <c r="P149" i="1" s="1"/>
  <c r="CS146" i="1"/>
  <c r="R146" i="1" s="1"/>
  <c r="AD146" i="1"/>
  <c r="CS144" i="1"/>
  <c r="R144" i="1" s="1"/>
  <c r="GK144" i="1" s="1"/>
  <c r="AD144" i="1"/>
  <c r="CR144" i="1" s="1"/>
  <c r="Q144" i="1" s="1"/>
  <c r="U142" i="1"/>
  <c r="Q142" i="1"/>
  <c r="CY139" i="1"/>
  <c r="X139" i="1" s="1"/>
  <c r="T362" i="5" s="1"/>
  <c r="CZ139" i="1"/>
  <c r="Y139" i="1" s="1"/>
  <c r="V362" i="5" s="1"/>
  <c r="AB139" i="1"/>
  <c r="CX295" i="3"/>
  <c r="CX299" i="3"/>
  <c r="CX292" i="3"/>
  <c r="CX296" i="3"/>
  <c r="CX300" i="3"/>
  <c r="CX294" i="3"/>
  <c r="CX298" i="3"/>
  <c r="CX293" i="3"/>
  <c r="CX297" i="3"/>
  <c r="I138" i="1"/>
  <c r="U360" i="5" s="1"/>
  <c r="S136" i="1"/>
  <c r="P136" i="1"/>
  <c r="U135" i="1"/>
  <c r="AD134" i="1"/>
  <c r="CR134" i="1" s="1"/>
  <c r="CS134" i="1"/>
  <c r="T133" i="1"/>
  <c r="CD26" i="1"/>
  <c r="AU100" i="1"/>
  <c r="P91" i="1"/>
  <c r="K298" i="5" s="1"/>
  <c r="AD88" i="1"/>
  <c r="CS88" i="1"/>
  <c r="R88" i="1" s="1"/>
  <c r="CZ88" i="1" s="1"/>
  <c r="Y88" i="1" s="1"/>
  <c r="V272" i="5" s="1"/>
  <c r="K279" i="5" s="1"/>
  <c r="AD86" i="1"/>
  <c r="CS86" i="1"/>
  <c r="R86" i="1" s="1"/>
  <c r="CZ86" i="1" s="1"/>
  <c r="Y86" i="1" s="1"/>
  <c r="V263" i="5" s="1"/>
  <c r="AB156" i="1"/>
  <c r="CP154" i="1"/>
  <c r="O154" i="1" s="1"/>
  <c r="K433" i="5" s="1"/>
  <c r="CP152" i="1"/>
  <c r="O152" i="1" s="1"/>
  <c r="K422" i="5" s="1"/>
  <c r="CP150" i="1"/>
  <c r="O150" i="1" s="1"/>
  <c r="K411" i="5" s="1"/>
  <c r="AB147" i="1"/>
  <c r="AB145" i="1"/>
  <c r="W142" i="1"/>
  <c r="S142" i="1"/>
  <c r="AB142" i="1"/>
  <c r="GX138" i="1"/>
  <c r="V138" i="1"/>
  <c r="AD138" i="1"/>
  <c r="CR138" i="1" s="1"/>
  <c r="CS138" i="1"/>
  <c r="R138" i="1" s="1"/>
  <c r="GK138" i="1" s="1"/>
  <c r="W136" i="1"/>
  <c r="W135" i="1"/>
  <c r="S135" i="1"/>
  <c r="K342" i="5" s="1"/>
  <c r="AB135" i="1"/>
  <c r="CX271" i="3"/>
  <c r="CX275" i="3"/>
  <c r="CX279" i="3"/>
  <c r="CX272" i="3"/>
  <c r="CX276" i="3"/>
  <c r="CX280" i="3"/>
  <c r="CX270" i="3"/>
  <c r="CX274" i="3"/>
  <c r="CX278" i="3"/>
  <c r="CX273" i="3"/>
  <c r="CX277" i="3"/>
  <c r="I134" i="1"/>
  <c r="S338" i="5" s="1"/>
  <c r="CR95" i="1"/>
  <c r="AB95" i="1"/>
  <c r="AB93" i="1"/>
  <c r="CR93" i="1"/>
  <c r="CX235" i="3"/>
  <c r="CX239" i="3"/>
  <c r="CX236" i="3"/>
  <c r="CX234" i="3"/>
  <c r="CX238" i="3"/>
  <c r="CX237" i="3"/>
  <c r="T91" i="1"/>
  <c r="CY86" i="1"/>
  <c r="X86" i="1" s="1"/>
  <c r="T263" i="5" s="1"/>
  <c r="CS85" i="1"/>
  <c r="R85" i="1" s="1"/>
  <c r="GK85" i="1" s="1"/>
  <c r="AD85" i="1"/>
  <c r="CR85" i="1" s="1"/>
  <c r="Q85" i="1" s="1"/>
  <c r="CC100" i="1"/>
  <c r="CZ72" i="1"/>
  <c r="Y72" i="1" s="1"/>
  <c r="V222" i="5" s="1"/>
  <c r="CY72" i="1"/>
  <c r="X72" i="1" s="1"/>
  <c r="T222" i="5" s="1"/>
  <c r="CZ68" i="1"/>
  <c r="Y68" i="1" s="1"/>
  <c r="V218" i="5" s="1"/>
  <c r="CY68" i="1"/>
  <c r="X68" i="1" s="1"/>
  <c r="T218" i="5" s="1"/>
  <c r="CS60" i="1"/>
  <c r="R60" i="1" s="1"/>
  <c r="AD60" i="1"/>
  <c r="CR60" i="1" s="1"/>
  <c r="Q60" i="1" s="1"/>
  <c r="CX423" i="3"/>
  <c r="CX427" i="3"/>
  <c r="CX424" i="3"/>
  <c r="CX428" i="3"/>
  <c r="CX426" i="3"/>
  <c r="CX430" i="3"/>
  <c r="CX425" i="3"/>
  <c r="CX429" i="3"/>
  <c r="CX388" i="3"/>
  <c r="CX389" i="3"/>
  <c r="CX379" i="3"/>
  <c r="CX383" i="3"/>
  <c r="CX380" i="3"/>
  <c r="CX384" i="3"/>
  <c r="CX378" i="3"/>
  <c r="CX382" i="3"/>
  <c r="CX385" i="3"/>
  <c r="CX381" i="3"/>
  <c r="T157" i="1"/>
  <c r="AB157" i="1"/>
  <c r="CS153" i="1"/>
  <c r="R153" i="1" s="1"/>
  <c r="K428" i="5" s="1"/>
  <c r="AD153" i="1"/>
  <c r="CS151" i="1"/>
  <c r="R151" i="1" s="1"/>
  <c r="K417" i="5" s="1"/>
  <c r="AD151" i="1"/>
  <c r="CS149" i="1"/>
  <c r="R149" i="1" s="1"/>
  <c r="AD149" i="1"/>
  <c r="CR149" i="1" s="1"/>
  <c r="Q149" i="1" s="1"/>
  <c r="CZ148" i="1"/>
  <c r="Y148" i="1" s="1"/>
  <c r="V403" i="5" s="1"/>
  <c r="CZ143" i="1"/>
  <c r="Y143" i="1" s="1"/>
  <c r="V381" i="5" s="1"/>
  <c r="T142" i="1"/>
  <c r="CQ141" i="1"/>
  <c r="P141" i="1" s="1"/>
  <c r="K375" i="5" s="1"/>
  <c r="CX303" i="3"/>
  <c r="CX307" i="3"/>
  <c r="CX304" i="3"/>
  <c r="CX308" i="3"/>
  <c r="CX302" i="3"/>
  <c r="CX306" i="3"/>
  <c r="CX305" i="3"/>
  <c r="CX309" i="3"/>
  <c r="CX301" i="3"/>
  <c r="I140" i="1"/>
  <c r="S138" i="1"/>
  <c r="P138" i="1"/>
  <c r="GX137" i="1"/>
  <c r="U137" i="1"/>
  <c r="Q137" i="1"/>
  <c r="GX136" i="1"/>
  <c r="V136" i="1"/>
  <c r="AD136" i="1"/>
  <c r="CR136" i="1" s="1"/>
  <c r="Q136" i="1" s="1"/>
  <c r="CS136" i="1"/>
  <c r="R136" i="1" s="1"/>
  <c r="GK136" i="1" s="1"/>
  <c r="T135" i="1"/>
  <c r="W134" i="1"/>
  <c r="W133" i="1"/>
  <c r="S133" i="1"/>
  <c r="AB133" i="1"/>
  <c r="AB97" i="1"/>
  <c r="CR97" i="1"/>
  <c r="Q97" i="1" s="1"/>
  <c r="U96" i="1"/>
  <c r="Q96" i="1"/>
  <c r="CX243" i="3"/>
  <c r="CX247" i="3"/>
  <c r="CX240" i="3"/>
  <c r="CX244" i="3"/>
  <c r="CX248" i="3"/>
  <c r="CX242" i="3"/>
  <c r="CX246" i="3"/>
  <c r="CX241" i="3"/>
  <c r="CX245" i="3"/>
  <c r="I94" i="1"/>
  <c r="U313" i="5" s="1"/>
  <c r="I93" i="1"/>
  <c r="I95" i="1"/>
  <c r="E314" i="5" s="1"/>
  <c r="R91" i="1"/>
  <c r="U91" i="1"/>
  <c r="CR91" i="1"/>
  <c r="Q91" i="1" s="1"/>
  <c r="K296" i="5" s="1"/>
  <c r="AB91" i="1"/>
  <c r="AD80" i="1"/>
  <c r="CS80" i="1"/>
  <c r="R80" i="1" s="1"/>
  <c r="CZ77" i="1"/>
  <c r="Y77" i="1" s="1"/>
  <c r="CY77" i="1"/>
  <c r="X77" i="1" s="1"/>
  <c r="AB77" i="1"/>
  <c r="CS64" i="1"/>
  <c r="AD64" i="1"/>
  <c r="CR64" i="1" s="1"/>
  <c r="AB48" i="1"/>
  <c r="CQ48" i="1"/>
  <c r="AD141" i="1"/>
  <c r="CR141" i="1" s="1"/>
  <c r="Q141" i="1" s="1"/>
  <c r="AB140" i="1"/>
  <c r="AB138" i="1"/>
  <c r="AB134" i="1"/>
  <c r="AD98" i="1"/>
  <c r="CR98" i="1" s="1"/>
  <c r="Q98" i="1" s="1"/>
  <c r="AB94" i="1"/>
  <c r="T92" i="1"/>
  <c r="AB92" i="1"/>
  <c r="CX227" i="3"/>
  <c r="CX231" i="3"/>
  <c r="CX228" i="3"/>
  <c r="CX232" i="3"/>
  <c r="CX230" i="3"/>
  <c r="CX233" i="3"/>
  <c r="CX229" i="3"/>
  <c r="I90" i="1"/>
  <c r="E291" i="5" s="1"/>
  <c r="W87" i="1"/>
  <c r="S87" i="1"/>
  <c r="CP87" i="1" s="1"/>
  <c r="O87" i="1" s="1"/>
  <c r="K270" i="5" s="1"/>
  <c r="AB87" i="1"/>
  <c r="CQ83" i="1"/>
  <c r="P83" i="1" s="1"/>
  <c r="K256" i="5" s="1"/>
  <c r="CQ82" i="1"/>
  <c r="P82" i="1" s="1"/>
  <c r="W81" i="1"/>
  <c r="S81" i="1"/>
  <c r="AB81" i="1"/>
  <c r="AB79" i="1"/>
  <c r="AD76" i="1"/>
  <c r="CR76" i="1" s="1"/>
  <c r="Q76" i="1" s="1"/>
  <c r="CS76" i="1"/>
  <c r="R76" i="1" s="1"/>
  <c r="GK76" i="1" s="1"/>
  <c r="CZ75" i="1"/>
  <c r="Y75" i="1" s="1"/>
  <c r="V225" i="5" s="1"/>
  <c r="CY75" i="1"/>
  <c r="X75" i="1" s="1"/>
  <c r="T225" i="5" s="1"/>
  <c r="CQ68" i="1"/>
  <c r="P68" i="1" s="1"/>
  <c r="CP68" i="1" s="1"/>
  <c r="O68" i="1" s="1"/>
  <c r="K218" i="5" s="1"/>
  <c r="AB68" i="1"/>
  <c r="CY63" i="1"/>
  <c r="X63" i="1" s="1"/>
  <c r="T196" i="5" s="1"/>
  <c r="CZ63" i="1"/>
  <c r="Y63" i="1" s="1"/>
  <c r="V196" i="5" s="1"/>
  <c r="CR55" i="1"/>
  <c r="Q55" i="1" s="1"/>
  <c r="K164" i="5" s="1"/>
  <c r="AB55" i="1"/>
  <c r="CX367" i="3"/>
  <c r="CX368" i="3"/>
  <c r="CX366" i="3"/>
  <c r="CX369" i="3"/>
  <c r="CX359" i="3"/>
  <c r="CX363" i="3"/>
  <c r="CX360" i="3"/>
  <c r="CX364" i="3"/>
  <c r="CX362" i="3"/>
  <c r="CX365" i="3"/>
  <c r="CX361" i="3"/>
  <c r="CX355" i="3"/>
  <c r="CX352" i="3"/>
  <c r="CX356" i="3"/>
  <c r="CX354" i="3"/>
  <c r="CX358" i="3"/>
  <c r="CX353" i="3"/>
  <c r="CX357" i="3"/>
  <c r="CX327" i="3"/>
  <c r="CX331" i="3"/>
  <c r="CX335" i="3"/>
  <c r="CX328" i="3"/>
  <c r="CX332" i="3"/>
  <c r="CX326" i="3"/>
  <c r="CX330" i="3"/>
  <c r="CX334" i="3"/>
  <c r="CX333" i="3"/>
  <c r="CX329" i="3"/>
  <c r="CG100" i="1"/>
  <c r="AO100" i="1"/>
  <c r="R94" i="1"/>
  <c r="GK94" i="1" s="1"/>
  <c r="W93" i="1"/>
  <c r="V90" i="1"/>
  <c r="AD90" i="1"/>
  <c r="CR90" i="1" s="1"/>
  <c r="CS90" i="1"/>
  <c r="R90" i="1" s="1"/>
  <c r="GK90" i="1" s="1"/>
  <c r="AB89" i="1"/>
  <c r="CQ88" i="1"/>
  <c r="P88" i="1" s="1"/>
  <c r="K277" i="5" s="1"/>
  <c r="AB88" i="1"/>
  <c r="CQ86" i="1"/>
  <c r="P86" i="1" s="1"/>
  <c r="AB86" i="1"/>
  <c r="CQ85" i="1"/>
  <c r="P85" i="1" s="1"/>
  <c r="AB84" i="1"/>
  <c r="CQ80" i="1"/>
  <c r="P80" i="1" s="1"/>
  <c r="K245" i="5" s="1"/>
  <c r="I79" i="1"/>
  <c r="E238" i="5" s="1"/>
  <c r="CQ78" i="1"/>
  <c r="AB75" i="1"/>
  <c r="CQ75" i="1"/>
  <c r="P75" i="1" s="1"/>
  <c r="CP75" i="1" s="1"/>
  <c r="O75" i="1" s="1"/>
  <c r="K225" i="5" s="1"/>
  <c r="P92" i="1"/>
  <c r="W91" i="1"/>
  <c r="S91" i="1"/>
  <c r="K295" i="5" s="1"/>
  <c r="CQ90" i="1"/>
  <c r="AB90" i="1"/>
  <c r="AD83" i="1"/>
  <c r="CS83" i="1"/>
  <c r="R83" i="1" s="1"/>
  <c r="CS82" i="1"/>
  <c r="R82" i="1" s="1"/>
  <c r="GK82" i="1" s="1"/>
  <c r="AD82" i="1"/>
  <c r="CR82" i="1" s="1"/>
  <c r="Q82" i="1" s="1"/>
  <c r="CX187" i="3"/>
  <c r="CX191" i="3"/>
  <c r="CX184" i="3"/>
  <c r="CX188" i="3"/>
  <c r="CX192" i="3"/>
  <c r="CX186" i="3"/>
  <c r="CX190" i="3"/>
  <c r="CX194" i="3"/>
  <c r="CX185" i="3"/>
  <c r="CX193" i="3"/>
  <c r="CX189" i="3"/>
  <c r="I78" i="1"/>
  <c r="S237" i="5" s="1"/>
  <c r="CQ72" i="1"/>
  <c r="P72" i="1" s="1"/>
  <c r="CP72" i="1" s="1"/>
  <c r="O72" i="1" s="1"/>
  <c r="K222" i="5" s="1"/>
  <c r="AB72" i="1"/>
  <c r="CZ61" i="1"/>
  <c r="Y61" i="1" s="1"/>
  <c r="V184" i="5" s="1"/>
  <c r="CY61" i="1"/>
  <c r="X61" i="1" s="1"/>
  <c r="AB53" i="1"/>
  <c r="CY43" i="1"/>
  <c r="X43" i="1" s="1"/>
  <c r="T113" i="5" s="1"/>
  <c r="CZ43" i="1"/>
  <c r="Y43" i="1" s="1"/>
  <c r="V113" i="5" s="1"/>
  <c r="AB43" i="1"/>
  <c r="CX223" i="3"/>
  <c r="CX224" i="3"/>
  <c r="CX222" i="3"/>
  <c r="CX226" i="3"/>
  <c r="CX221" i="3"/>
  <c r="CX225" i="3"/>
  <c r="CX195" i="3"/>
  <c r="CX199" i="3"/>
  <c r="CX203" i="3"/>
  <c r="CX207" i="3"/>
  <c r="CX196" i="3"/>
  <c r="CX200" i="3"/>
  <c r="CX204" i="3"/>
  <c r="CX198" i="3"/>
  <c r="CX202" i="3"/>
  <c r="CX206" i="3"/>
  <c r="CX197" i="3"/>
  <c r="CX201" i="3"/>
  <c r="CX205" i="3"/>
  <c r="AB74" i="1"/>
  <c r="CZ73" i="1"/>
  <c r="Y73" i="1" s="1"/>
  <c r="V223" i="5" s="1"/>
  <c r="AB70" i="1"/>
  <c r="AB66" i="1"/>
  <c r="P63" i="1"/>
  <c r="W57" i="1"/>
  <c r="CX127" i="3"/>
  <c r="CX131" i="3"/>
  <c r="CX128" i="3"/>
  <c r="CX132" i="3"/>
  <c r="CX130" i="3"/>
  <c r="CX134" i="3"/>
  <c r="CX133" i="3"/>
  <c r="CX129" i="3"/>
  <c r="I57" i="1"/>
  <c r="S171" i="5" s="1"/>
  <c r="I58" i="1"/>
  <c r="E172" i="5" s="1"/>
  <c r="I56" i="1"/>
  <c r="U170" i="5" s="1"/>
  <c r="R53" i="1"/>
  <c r="GK53" i="1" s="1"/>
  <c r="T53" i="1"/>
  <c r="P53" i="1"/>
  <c r="CP73" i="1"/>
  <c r="O73" i="1" s="1"/>
  <c r="K223" i="5" s="1"/>
  <c r="AB73" i="1"/>
  <c r="CQ71" i="1"/>
  <c r="P71" i="1" s="1"/>
  <c r="CP71" i="1" s="1"/>
  <c r="O71" i="1" s="1"/>
  <c r="K221" i="5" s="1"/>
  <c r="CP70" i="1"/>
  <c r="O70" i="1" s="1"/>
  <c r="K220" i="5" s="1"/>
  <c r="AB69" i="1"/>
  <c r="CQ67" i="1"/>
  <c r="P67" i="1" s="1"/>
  <c r="CP66" i="1"/>
  <c r="O66" i="1" s="1"/>
  <c r="CQ65" i="1"/>
  <c r="CX155" i="3"/>
  <c r="CX159" i="3"/>
  <c r="CX163" i="3"/>
  <c r="CX156" i="3"/>
  <c r="CX160" i="3"/>
  <c r="CX154" i="3"/>
  <c r="CX158" i="3"/>
  <c r="CX162" i="3"/>
  <c r="CX153" i="3"/>
  <c r="CX161" i="3"/>
  <c r="CX157" i="3"/>
  <c r="I65" i="1"/>
  <c r="E206" i="5" s="1"/>
  <c r="I64" i="1"/>
  <c r="AB62" i="1"/>
  <c r="AB61" i="1"/>
  <c r="U56" i="1"/>
  <c r="CZ52" i="1"/>
  <c r="Y52" i="1" s="1"/>
  <c r="V149" i="5" s="1"/>
  <c r="CY52" i="1"/>
  <c r="X52" i="1" s="1"/>
  <c r="T149" i="5" s="1"/>
  <c r="CZ50" i="1"/>
  <c r="Y50" i="1" s="1"/>
  <c r="V146" i="5" s="1"/>
  <c r="CY50" i="1"/>
  <c r="X50" i="1" s="1"/>
  <c r="T146" i="5" s="1"/>
  <c r="CZ71" i="1"/>
  <c r="Y71" i="1" s="1"/>
  <c r="V221" i="5" s="1"/>
  <c r="AB64" i="1"/>
  <c r="CP60" i="1"/>
  <c r="O60" i="1" s="1"/>
  <c r="K183" i="5" s="1"/>
  <c r="AB60" i="1"/>
  <c r="T56" i="1"/>
  <c r="V56" i="1"/>
  <c r="AD56" i="1"/>
  <c r="CS56" i="1"/>
  <c r="AB49" i="1"/>
  <c r="CR49" i="1"/>
  <c r="Q49" i="1" s="1"/>
  <c r="AD42" i="1"/>
  <c r="H111" i="5" s="1"/>
  <c r="W111" i="5" s="1"/>
  <c r="CS42" i="1"/>
  <c r="R42" i="1" s="1"/>
  <c r="CZ37" i="1"/>
  <c r="Y37" i="1" s="1"/>
  <c r="V89" i="5" s="1"/>
  <c r="CY37" i="1"/>
  <c r="X37" i="1" s="1"/>
  <c r="T89" i="5" s="1"/>
  <c r="CP37" i="1"/>
  <c r="O37" i="1" s="1"/>
  <c r="K89" i="5" s="1"/>
  <c r="AB37" i="1"/>
  <c r="CX167" i="3"/>
  <c r="CX171" i="3"/>
  <c r="CX175" i="3"/>
  <c r="CX179" i="3"/>
  <c r="CX183" i="3"/>
  <c r="CX164" i="3"/>
  <c r="CX168" i="3"/>
  <c r="CX172" i="3"/>
  <c r="CX176" i="3"/>
  <c r="CX180" i="3"/>
  <c r="CX166" i="3"/>
  <c r="CX170" i="3"/>
  <c r="CX174" i="3"/>
  <c r="CX178" i="3"/>
  <c r="CX182" i="3"/>
  <c r="CX165" i="3"/>
  <c r="CX181" i="3"/>
  <c r="CX169" i="3"/>
  <c r="CX177" i="3"/>
  <c r="CX173" i="3"/>
  <c r="CX143" i="3"/>
  <c r="CX147" i="3"/>
  <c r="CX151" i="3"/>
  <c r="CX144" i="3"/>
  <c r="CX148" i="3"/>
  <c r="CX152" i="3"/>
  <c r="CX142" i="3"/>
  <c r="CX146" i="3"/>
  <c r="CX150" i="3"/>
  <c r="CX149" i="3"/>
  <c r="CX145" i="3"/>
  <c r="T58" i="1"/>
  <c r="AB58" i="1"/>
  <c r="CQ58" i="1"/>
  <c r="P58" i="1" s="1"/>
  <c r="GX57" i="1"/>
  <c r="U57" i="1"/>
  <c r="Q57" i="1"/>
  <c r="W55" i="1"/>
  <c r="S55" i="1"/>
  <c r="K163" i="5" s="1"/>
  <c r="U53" i="1"/>
  <c r="Q53" i="1"/>
  <c r="U51" i="1"/>
  <c r="Q51" i="1"/>
  <c r="CY49" i="1"/>
  <c r="X49" i="1" s="1"/>
  <c r="T137" i="5" s="1"/>
  <c r="AB45" i="1"/>
  <c r="CR45" i="1"/>
  <c r="CX79" i="3"/>
  <c r="CX83" i="3"/>
  <c r="CX80" i="3"/>
  <c r="CX78" i="3"/>
  <c r="CX82" i="3"/>
  <c r="CX81" i="3"/>
  <c r="I45" i="1"/>
  <c r="R45" i="1" s="1"/>
  <c r="GK45" i="1" s="1"/>
  <c r="I44" i="1"/>
  <c r="S122" i="5" s="1"/>
  <c r="CY42" i="1"/>
  <c r="X42" i="1" s="1"/>
  <c r="T111" i="5" s="1"/>
  <c r="W41" i="1"/>
  <c r="S41" i="1"/>
  <c r="CP41" i="1" s="1"/>
  <c r="O41" i="1" s="1"/>
  <c r="K110" i="5" s="1"/>
  <c r="AB41" i="1"/>
  <c r="S39" i="1"/>
  <c r="K93" i="5" s="1"/>
  <c r="CZ35" i="1"/>
  <c r="Y35" i="1" s="1"/>
  <c r="V78" i="5" s="1"/>
  <c r="CY35" i="1"/>
  <c r="X35" i="1" s="1"/>
  <c r="T78" i="5" s="1"/>
  <c r="CS33" i="1"/>
  <c r="R33" i="1" s="1"/>
  <c r="K72" i="5" s="1"/>
  <c r="AD33" i="1"/>
  <c r="H71" i="5" s="1"/>
  <c r="R31" i="1"/>
  <c r="K54" i="5" s="1"/>
  <c r="CY29" i="1"/>
  <c r="X29" i="1" s="1"/>
  <c r="CZ29" i="1"/>
  <c r="Y29" i="1" s="1"/>
  <c r="V34" i="5" s="1"/>
  <c r="K39" i="5" s="1"/>
  <c r="AB29" i="1"/>
  <c r="AB52" i="1"/>
  <c r="CQ52" i="1"/>
  <c r="P52" i="1" s="1"/>
  <c r="W51" i="1"/>
  <c r="S51" i="1"/>
  <c r="AB51" i="1"/>
  <c r="AB50" i="1"/>
  <c r="CQ50" i="1"/>
  <c r="P50" i="1" s="1"/>
  <c r="CP50" i="1" s="1"/>
  <c r="O50" i="1" s="1"/>
  <c r="K146" i="5" s="1"/>
  <c r="AD46" i="1"/>
  <c r="H128" i="5" s="1"/>
  <c r="CS46" i="1"/>
  <c r="R46" i="1" s="1"/>
  <c r="W44" i="1"/>
  <c r="CZ40" i="1"/>
  <c r="Y40" i="1" s="1"/>
  <c r="V101" i="5" s="1"/>
  <c r="CY40" i="1"/>
  <c r="X40" i="1" s="1"/>
  <c r="T101" i="5" s="1"/>
  <c r="CX59" i="3"/>
  <c r="CX63" i="3"/>
  <c r="CX60" i="3"/>
  <c r="CX64" i="3"/>
  <c r="CX62" i="3"/>
  <c r="CX65" i="3"/>
  <c r="CX61" i="3"/>
  <c r="R39" i="1"/>
  <c r="GX39" i="1"/>
  <c r="CQ35" i="1"/>
  <c r="P35" i="1" s="1"/>
  <c r="CP35" i="1" s="1"/>
  <c r="O35" i="1" s="1"/>
  <c r="K78" i="5" s="1"/>
  <c r="AB35" i="1"/>
  <c r="CX35" i="3"/>
  <c r="CX34" i="3"/>
  <c r="CX33" i="3"/>
  <c r="GX31" i="1"/>
  <c r="AB59" i="1"/>
  <c r="R58" i="1"/>
  <c r="GK58" i="1" s="1"/>
  <c r="U58" i="1"/>
  <c r="Q58" i="1"/>
  <c r="V57" i="1"/>
  <c r="R57" i="1"/>
  <c r="GK57" i="1" s="1"/>
  <c r="T55" i="1"/>
  <c r="AD54" i="1"/>
  <c r="H159" i="5" s="1"/>
  <c r="W159" i="5" s="1"/>
  <c r="CS54" i="1"/>
  <c r="R54" i="1" s="1"/>
  <c r="GK54" i="1" s="1"/>
  <c r="AB47" i="1"/>
  <c r="CR47" i="1"/>
  <c r="V44" i="1"/>
  <c r="AD44" i="1"/>
  <c r="CS44" i="1"/>
  <c r="R44" i="1" s="1"/>
  <c r="GK44" i="1" s="1"/>
  <c r="CR39" i="1"/>
  <c r="Q39" i="1" s="1"/>
  <c r="K94" i="5" s="1"/>
  <c r="AB39" i="1"/>
  <c r="CT38" i="1"/>
  <c r="S38" i="1" s="1"/>
  <c r="CP38" i="1" s="1"/>
  <c r="O38" i="1" s="1"/>
  <c r="AB38" i="1"/>
  <c r="CZ36" i="1"/>
  <c r="Y36" i="1" s="1"/>
  <c r="CY36" i="1"/>
  <c r="X36" i="1" s="1"/>
  <c r="CZ33" i="1"/>
  <c r="Y33" i="1" s="1"/>
  <c r="V68" i="5" s="1"/>
  <c r="CZ32" i="1"/>
  <c r="Y32" i="1" s="1"/>
  <c r="CY32" i="1"/>
  <c r="X32" i="1" s="1"/>
  <c r="U31" i="1"/>
  <c r="Q31" i="1"/>
  <c r="K53" i="5" s="1"/>
  <c r="CX87" i="3"/>
  <c r="CX91" i="3"/>
  <c r="CX95" i="3"/>
  <c r="CX99" i="3"/>
  <c r="CX84" i="3"/>
  <c r="CX88" i="3"/>
  <c r="CX92" i="3"/>
  <c r="CX96" i="3"/>
  <c r="CX100" i="3"/>
  <c r="CX86" i="3"/>
  <c r="CX90" i="3"/>
  <c r="CX94" i="3"/>
  <c r="CX98" i="3"/>
  <c r="CX85" i="3"/>
  <c r="CX101" i="3"/>
  <c r="CX89" i="3"/>
  <c r="CX97" i="3"/>
  <c r="CX93" i="3"/>
  <c r="U39" i="1"/>
  <c r="AB32" i="1"/>
  <c r="CT31" i="1"/>
  <c r="S31" i="1" s="1"/>
  <c r="K52" i="5" s="1"/>
  <c r="CX115" i="3"/>
  <c r="CX119" i="3"/>
  <c r="CX123" i="3"/>
  <c r="CX116" i="3"/>
  <c r="CX120" i="3"/>
  <c r="CX124" i="3"/>
  <c r="CX114" i="3"/>
  <c r="CX118" i="3"/>
  <c r="CX122" i="3"/>
  <c r="CX126" i="3"/>
  <c r="CX117" i="3"/>
  <c r="CX121" i="3"/>
  <c r="CX113" i="3"/>
  <c r="CX125" i="3"/>
  <c r="I48" i="1"/>
  <c r="P39" i="1"/>
  <c r="T31" i="1"/>
  <c r="P31" i="1"/>
  <c r="CY30" i="1"/>
  <c r="X30" i="1" s="1"/>
  <c r="CZ28" i="1"/>
  <c r="Y28" i="1" s="1"/>
  <c r="V25" i="5" s="1"/>
  <c r="K31" i="5" s="1"/>
  <c r="CY28" i="1"/>
  <c r="X28" i="1" s="1"/>
  <c r="T25" i="5" s="1"/>
  <c r="K30" i="5" s="1"/>
  <c r="CX135" i="3"/>
  <c r="CX139" i="3"/>
  <c r="CX136" i="3"/>
  <c r="CX140" i="3"/>
  <c r="CX138" i="3"/>
  <c r="CX137" i="3"/>
  <c r="CX141" i="3"/>
  <c r="CX103" i="3"/>
  <c r="CX107" i="3"/>
  <c r="CX111" i="3"/>
  <c r="CX104" i="3"/>
  <c r="CX108" i="3"/>
  <c r="CX112" i="3"/>
  <c r="CX102" i="3"/>
  <c r="CX106" i="3"/>
  <c r="CX110" i="3"/>
  <c r="CX105" i="3"/>
  <c r="I47" i="1"/>
  <c r="H134" i="5" s="1"/>
  <c r="W134" i="5" s="1"/>
  <c r="CQ40" i="1"/>
  <c r="P40" i="1" s="1"/>
  <c r="T39" i="1"/>
  <c r="CY34" i="1"/>
  <c r="X34" i="1" s="1"/>
  <c r="T77" i="5" s="1"/>
  <c r="CQ34" i="1"/>
  <c r="P34" i="1" s="1"/>
  <c r="CP34" i="1" s="1"/>
  <c r="O34" i="1" s="1"/>
  <c r="K77" i="5" s="1"/>
  <c r="CX39" i="3"/>
  <c r="CX43" i="3"/>
  <c r="CX47" i="3"/>
  <c r="CX40" i="3"/>
  <c r="CX44" i="3"/>
  <c r="CX48" i="3"/>
  <c r="CX42" i="3"/>
  <c r="CX46" i="3"/>
  <c r="CX50" i="3"/>
  <c r="CX41" i="3"/>
  <c r="CX49" i="3"/>
  <c r="AB28" i="1"/>
  <c r="CQ28" i="1"/>
  <c r="P28" i="1" s="1"/>
  <c r="CX67" i="3"/>
  <c r="CX71" i="3"/>
  <c r="CX75" i="3"/>
  <c r="CX68" i="3"/>
  <c r="CX72" i="3"/>
  <c r="CX76" i="3"/>
  <c r="CX66" i="3"/>
  <c r="CX70" i="3"/>
  <c r="CX74" i="3"/>
  <c r="CX69" i="3"/>
  <c r="CX73" i="3"/>
  <c r="CX51" i="3"/>
  <c r="CX55" i="3"/>
  <c r="CX52" i="3"/>
  <c r="CX56" i="3"/>
  <c r="CX54" i="3"/>
  <c r="CX58" i="3"/>
  <c r="CX53" i="3"/>
  <c r="CX57" i="3"/>
  <c r="CX36" i="3"/>
  <c r="CX38" i="3"/>
  <c r="CX37" i="3"/>
  <c r="CX77" i="3"/>
  <c r="CX3" i="3"/>
  <c r="CX4" i="3"/>
  <c r="CX2" i="3"/>
  <c r="U65" i="1" l="1"/>
  <c r="V65" i="1"/>
  <c r="GM61" i="1"/>
  <c r="T350" i="1"/>
  <c r="S259" i="1"/>
  <c r="R259" i="1"/>
  <c r="GK259" i="1" s="1"/>
  <c r="Q260" i="1"/>
  <c r="CP260" i="1" s="1"/>
  <c r="O260" i="1" s="1"/>
  <c r="R260" i="1"/>
  <c r="GK260" i="1" s="1"/>
  <c r="P259" i="1"/>
  <c r="W260" i="1"/>
  <c r="GX260" i="1"/>
  <c r="P44" i="1"/>
  <c r="CP51" i="1"/>
  <c r="O51" i="1" s="1"/>
  <c r="K147" i="5" s="1"/>
  <c r="T57" i="1"/>
  <c r="P90" i="1"/>
  <c r="Q79" i="1"/>
  <c r="Q90" i="1"/>
  <c r="AB136" i="1"/>
  <c r="H143" i="5"/>
  <c r="H156" i="5"/>
  <c r="P69" i="1"/>
  <c r="GX76" i="1"/>
  <c r="R350" i="1"/>
  <c r="GK350" i="1" s="1"/>
  <c r="E580" i="5"/>
  <c r="GX259" i="1"/>
  <c r="U259" i="1"/>
  <c r="T260" i="1"/>
  <c r="V260" i="1"/>
  <c r="T259" i="1"/>
  <c r="U260" i="1"/>
  <c r="S260" i="1"/>
  <c r="Q259" i="1"/>
  <c r="K75" i="5"/>
  <c r="J473" i="5"/>
  <c r="P473" i="5" s="1"/>
  <c r="H155" i="5"/>
  <c r="W326" i="5"/>
  <c r="H257" i="5"/>
  <c r="H376" i="5"/>
  <c r="L487" i="5"/>
  <c r="K323" i="5"/>
  <c r="H144" i="5"/>
  <c r="G148" i="5" s="1"/>
  <c r="O148" i="5" s="1"/>
  <c r="H180" i="5"/>
  <c r="H462" i="5"/>
  <c r="X465" i="5" s="1"/>
  <c r="H538" i="5"/>
  <c r="H590" i="5"/>
  <c r="H440" i="5"/>
  <c r="H527" i="5"/>
  <c r="G531" i="5" s="1"/>
  <c r="O531" i="5" s="1"/>
  <c r="K564" i="5"/>
  <c r="K322" i="5"/>
  <c r="J567" i="5"/>
  <c r="P567" i="5" s="1"/>
  <c r="W148" i="5"/>
  <c r="H575" i="5"/>
  <c r="H589" i="5"/>
  <c r="W594" i="5" s="1"/>
  <c r="CZ82" i="1"/>
  <c r="Y82" i="1" s="1"/>
  <c r="V250" i="5" s="1"/>
  <c r="CY82" i="1"/>
  <c r="X82" i="1" s="1"/>
  <c r="T250" i="5" s="1"/>
  <c r="T42" i="5"/>
  <c r="K46" i="5" s="1"/>
  <c r="GX48" i="1"/>
  <c r="E135" i="5"/>
  <c r="T59" i="5"/>
  <c r="K64" i="5" s="1"/>
  <c r="V80" i="5"/>
  <c r="K87" i="5" s="1"/>
  <c r="Q47" i="1"/>
  <c r="U47" i="1"/>
  <c r="GK39" i="1"/>
  <c r="K95" i="5"/>
  <c r="GK46" i="1"/>
  <c r="K129" i="5"/>
  <c r="R47" i="1"/>
  <c r="GK47" i="1" s="1"/>
  <c r="K154" i="5"/>
  <c r="GN29" i="1"/>
  <c r="T34" i="5"/>
  <c r="K38" i="5" s="1"/>
  <c r="T45" i="1"/>
  <c r="E123" i="5"/>
  <c r="U48" i="1"/>
  <c r="GX44" i="1"/>
  <c r="V64" i="1"/>
  <c r="E205" i="5"/>
  <c r="CZ46" i="1"/>
  <c r="Y46" i="1" s="1"/>
  <c r="V125" i="5" s="1"/>
  <c r="GK83" i="1"/>
  <c r="K255" i="5"/>
  <c r="K308" i="5"/>
  <c r="GX90" i="1"/>
  <c r="P48" i="1"/>
  <c r="R65" i="1"/>
  <c r="GK65" i="1" s="1"/>
  <c r="V228" i="5"/>
  <c r="GK80" i="1"/>
  <c r="K244" i="5"/>
  <c r="CZ83" i="1"/>
  <c r="Y83" i="1" s="1"/>
  <c r="V252" i="5" s="1"/>
  <c r="GK91" i="1"/>
  <c r="K297" i="5"/>
  <c r="T93" i="1"/>
  <c r="E312" i="5"/>
  <c r="CP97" i="1"/>
  <c r="O97" i="1" s="1"/>
  <c r="K319" i="5"/>
  <c r="L361" i="5"/>
  <c r="Q361" i="5" s="1"/>
  <c r="L359" i="5"/>
  <c r="GX140" i="1"/>
  <c r="E371" i="5"/>
  <c r="CR151" i="1"/>
  <c r="Q151" i="1" s="1"/>
  <c r="K416" i="5" s="1"/>
  <c r="H416" i="5"/>
  <c r="CR153" i="1"/>
  <c r="Q153" i="1" s="1"/>
  <c r="K427" i="5" s="1"/>
  <c r="H427" i="5"/>
  <c r="G434" i="5" s="1"/>
  <c r="O434" i="5" s="1"/>
  <c r="Q95" i="1"/>
  <c r="P140" i="1"/>
  <c r="GK86" i="1"/>
  <c r="K266" i="5"/>
  <c r="GK88" i="1"/>
  <c r="K276" i="5"/>
  <c r="V134" i="1"/>
  <c r="L350" i="5"/>
  <c r="Q350" i="5" s="1"/>
  <c r="L348" i="5"/>
  <c r="CR146" i="1"/>
  <c r="Q146" i="1" s="1"/>
  <c r="K395" i="5" s="1"/>
  <c r="H395" i="5"/>
  <c r="AB153" i="1"/>
  <c r="S95" i="1"/>
  <c r="P134" i="1"/>
  <c r="Q236" i="1"/>
  <c r="E517" i="5"/>
  <c r="Q237" i="1"/>
  <c r="CP146" i="1"/>
  <c r="O146" i="1" s="1"/>
  <c r="K397" i="5"/>
  <c r="GK135" i="1"/>
  <c r="K344" i="5"/>
  <c r="CP143" i="1"/>
  <c r="O143" i="1" s="1"/>
  <c r="GM155" i="1"/>
  <c r="V435" i="5"/>
  <c r="U270" i="1"/>
  <c r="E609" i="5"/>
  <c r="CP240" i="1"/>
  <c r="O240" i="1" s="1"/>
  <c r="K526" i="5"/>
  <c r="Q267" i="1"/>
  <c r="CY308" i="1"/>
  <c r="X308" i="1" s="1"/>
  <c r="T624" i="5" s="1"/>
  <c r="GX237" i="1"/>
  <c r="CR305" i="1"/>
  <c r="Q305" i="1" s="1"/>
  <c r="H615" i="5"/>
  <c r="GO155" i="1"/>
  <c r="U249" i="1"/>
  <c r="E554" i="5"/>
  <c r="GX251" i="1"/>
  <c r="E556" i="5"/>
  <c r="GX246" i="1"/>
  <c r="E551" i="5"/>
  <c r="V251" i="1"/>
  <c r="K538" i="5"/>
  <c r="S248" i="1"/>
  <c r="Q353" i="1"/>
  <c r="E677" i="5"/>
  <c r="K660" i="5"/>
  <c r="CY241" i="1"/>
  <c r="X241" i="1" s="1"/>
  <c r="T530" i="5" s="1"/>
  <c r="K527" i="5" s="1"/>
  <c r="P352" i="1"/>
  <c r="GM355" i="1"/>
  <c r="V680" i="5"/>
  <c r="P267" i="1"/>
  <c r="H122" i="5"/>
  <c r="W122" i="5" s="1"/>
  <c r="U123" i="5"/>
  <c r="U134" i="5"/>
  <c r="CR52" i="1"/>
  <c r="Q52" i="1" s="1"/>
  <c r="K152" i="5" s="1"/>
  <c r="H152" i="5"/>
  <c r="S172" i="5"/>
  <c r="R176" i="5"/>
  <c r="H189" i="5"/>
  <c r="CR62" i="1"/>
  <c r="Q62" i="1" s="1"/>
  <c r="R188" i="5"/>
  <c r="G195" i="5"/>
  <c r="O195" i="5" s="1"/>
  <c r="W195" i="5"/>
  <c r="H205" i="5"/>
  <c r="W205" i="5" s="1"/>
  <c r="U205" i="5"/>
  <c r="U206" i="5"/>
  <c r="T67" i="1"/>
  <c r="U224" i="5"/>
  <c r="U74" i="1"/>
  <c r="H226" i="5"/>
  <c r="W226" i="5" s="1"/>
  <c r="L239" i="5"/>
  <c r="Q239" i="5" s="1"/>
  <c r="L236" i="5"/>
  <c r="GK77" i="1"/>
  <c r="K232" i="5"/>
  <c r="H238" i="5"/>
  <c r="W238" i="5" s="1"/>
  <c r="H250" i="5"/>
  <c r="W250" i="5" s="1"/>
  <c r="R274" i="5"/>
  <c r="U312" i="5"/>
  <c r="H314" i="5"/>
  <c r="W314" i="5" s="1"/>
  <c r="R331" i="5"/>
  <c r="H346" i="5"/>
  <c r="H349" i="5"/>
  <c r="X349" i="5" s="1"/>
  <c r="CR28" i="1"/>
  <c r="Q28" i="1" s="1"/>
  <c r="K28" i="5" s="1"/>
  <c r="J33" i="5" s="1"/>
  <c r="P33" i="5" s="1"/>
  <c r="H28" i="5"/>
  <c r="J41" i="5"/>
  <c r="P41" i="5" s="1"/>
  <c r="R52" i="5"/>
  <c r="W58" i="5"/>
  <c r="G58" i="5"/>
  <c r="O58" i="5" s="1"/>
  <c r="K63" i="5"/>
  <c r="GK32" i="1"/>
  <c r="R70" i="5"/>
  <c r="R93" i="5"/>
  <c r="G100" i="5"/>
  <c r="O100" i="5" s="1"/>
  <c r="W100" i="5"/>
  <c r="H107" i="5"/>
  <c r="R103" i="5"/>
  <c r="H123" i="5"/>
  <c r="W123" i="5" s="1"/>
  <c r="U135" i="5"/>
  <c r="GK49" i="1"/>
  <c r="K141" i="5"/>
  <c r="H183" i="5"/>
  <c r="W183" i="5" s="1"/>
  <c r="GK62" i="1"/>
  <c r="K190" i="5"/>
  <c r="CZ62" i="1"/>
  <c r="Y62" i="1" s="1"/>
  <c r="V186" i="5" s="1"/>
  <c r="K193" i="5" s="1"/>
  <c r="AB63" i="1"/>
  <c r="H199" i="5"/>
  <c r="CR63" i="1"/>
  <c r="Q63" i="1" s="1"/>
  <c r="K199" i="5" s="1"/>
  <c r="H206" i="5"/>
  <c r="W206" i="5" s="1"/>
  <c r="S217" i="5"/>
  <c r="U67" i="1"/>
  <c r="H219" i="5"/>
  <c r="W219" i="5" s="1"/>
  <c r="S219" i="5"/>
  <c r="W69" i="1"/>
  <c r="H220" i="5"/>
  <c r="W220" i="5" s="1"/>
  <c r="R74" i="1"/>
  <c r="GK74" i="1" s="1"/>
  <c r="S74" i="1"/>
  <c r="S76" i="1"/>
  <c r="CY76" i="1" s="1"/>
  <c r="X76" i="1" s="1"/>
  <c r="T226" i="5" s="1"/>
  <c r="K233" i="5"/>
  <c r="S238" i="5"/>
  <c r="H234" i="5" s="1"/>
  <c r="H249" i="5"/>
  <c r="W249" i="5" s="1"/>
  <c r="T82" i="1"/>
  <c r="CZ84" i="1"/>
  <c r="Y84" i="1" s="1"/>
  <c r="V260" i="5" s="1"/>
  <c r="CY84" i="1"/>
  <c r="X84" i="1" s="1"/>
  <c r="H268" i="5"/>
  <c r="R264" i="5"/>
  <c r="CY71" i="1"/>
  <c r="X71" i="1" s="1"/>
  <c r="T221" i="5" s="1"/>
  <c r="P74" i="1"/>
  <c r="H291" i="5"/>
  <c r="W291" i="5" s="1"/>
  <c r="S291" i="5"/>
  <c r="H288" i="5" s="1"/>
  <c r="R295" i="5"/>
  <c r="G302" i="5"/>
  <c r="O302" i="5" s="1"/>
  <c r="W302" i="5"/>
  <c r="S314" i="5"/>
  <c r="T96" i="1"/>
  <c r="H371" i="5"/>
  <c r="X371" i="5" s="1"/>
  <c r="S371" i="5"/>
  <c r="CZ145" i="1"/>
  <c r="Y145" i="1" s="1"/>
  <c r="V390" i="5" s="1"/>
  <c r="CY145" i="1"/>
  <c r="X145" i="1" s="1"/>
  <c r="T390" i="5" s="1"/>
  <c r="H410" i="5"/>
  <c r="X410" i="5" s="1"/>
  <c r="X434" i="5"/>
  <c r="R446" i="5"/>
  <c r="G465" i="5"/>
  <c r="O465" i="5" s="1"/>
  <c r="K461" i="5"/>
  <c r="J465" i="5" s="1"/>
  <c r="P465" i="5" s="1"/>
  <c r="J480" i="5"/>
  <c r="P480" i="5" s="1"/>
  <c r="U517" i="5"/>
  <c r="S518" i="5"/>
  <c r="H551" i="5"/>
  <c r="W551" i="5" s="1"/>
  <c r="U551" i="5"/>
  <c r="H555" i="5"/>
  <c r="W555" i="5" s="1"/>
  <c r="G594" i="5"/>
  <c r="O594" i="5" s="1"/>
  <c r="U606" i="5"/>
  <c r="H609" i="5"/>
  <c r="W609" i="5" s="1"/>
  <c r="S609" i="5"/>
  <c r="R639" i="5"/>
  <c r="W645" i="5"/>
  <c r="G645" i="5"/>
  <c r="O645" i="5" s="1"/>
  <c r="H665" i="5"/>
  <c r="W665" i="5" s="1"/>
  <c r="S676" i="5"/>
  <c r="H677" i="5"/>
  <c r="W677" i="5" s="1"/>
  <c r="AO344" i="1"/>
  <c r="F362" i="1"/>
  <c r="S67" i="1"/>
  <c r="V76" i="1"/>
  <c r="R96" i="1"/>
  <c r="V96" i="1"/>
  <c r="GK97" i="1"/>
  <c r="K320" i="5"/>
  <c r="H325" i="5"/>
  <c r="W325" i="5" s="1"/>
  <c r="R353" i="5"/>
  <c r="H368" i="5"/>
  <c r="L372" i="5"/>
  <c r="Q372" i="5" s="1"/>
  <c r="L370" i="5"/>
  <c r="GK139" i="1"/>
  <c r="K366" i="5"/>
  <c r="H386" i="5"/>
  <c r="H387" i="5"/>
  <c r="CP145" i="1"/>
  <c r="O145" i="1" s="1"/>
  <c r="CZ147" i="1"/>
  <c r="Y147" i="1" s="1"/>
  <c r="V401" i="5" s="1"/>
  <c r="CY147" i="1"/>
  <c r="X147" i="1" s="1"/>
  <c r="H408" i="5"/>
  <c r="R404" i="5"/>
  <c r="CR157" i="1"/>
  <c r="Q157" i="1" s="1"/>
  <c r="H447" i="5"/>
  <c r="GK157" i="1"/>
  <c r="K448" i="5"/>
  <c r="BB131" i="1"/>
  <c r="F175" i="1"/>
  <c r="R491" i="5"/>
  <c r="W497" i="5"/>
  <c r="G497" i="5"/>
  <c r="O497" i="5" s="1"/>
  <c r="K491" i="5"/>
  <c r="CZ232" i="1"/>
  <c r="Y232" i="1" s="1"/>
  <c r="V489" i="5" s="1"/>
  <c r="K495" i="5" s="1"/>
  <c r="CY232" i="1"/>
  <c r="X232" i="1" s="1"/>
  <c r="T489" i="5" s="1"/>
  <c r="K494" i="5" s="1"/>
  <c r="CR234" i="1"/>
  <c r="Q234" i="1" s="1"/>
  <c r="K510" i="5" s="1"/>
  <c r="H510" i="5"/>
  <c r="H517" i="5"/>
  <c r="W517" i="5" s="1"/>
  <c r="W531" i="5"/>
  <c r="K536" i="5"/>
  <c r="GK242" i="1"/>
  <c r="H554" i="5"/>
  <c r="W554" i="5" s="1"/>
  <c r="S554" i="5"/>
  <c r="H556" i="5"/>
  <c r="W556" i="5" s="1"/>
  <c r="S556" i="5"/>
  <c r="H579" i="5"/>
  <c r="W579" i="5" s="1"/>
  <c r="CR264" i="1"/>
  <c r="Q264" i="1" s="1"/>
  <c r="K598" i="5" s="1"/>
  <c r="H598" i="5"/>
  <c r="H628" i="5"/>
  <c r="AB352" i="1"/>
  <c r="U677" i="5"/>
  <c r="AP344" i="1"/>
  <c r="F367" i="1"/>
  <c r="U266" i="1"/>
  <c r="L635" i="5"/>
  <c r="W47" i="1"/>
  <c r="E134" i="5"/>
  <c r="K106" i="5"/>
  <c r="CP39" i="1"/>
  <c r="O39" i="1" s="1"/>
  <c r="K96" i="5"/>
  <c r="L100" i="5"/>
  <c r="Q100" i="5" s="1"/>
  <c r="L99" i="5"/>
  <c r="L58" i="5"/>
  <c r="Q58" i="5" s="1"/>
  <c r="L57" i="5"/>
  <c r="V59" i="5"/>
  <c r="K65" i="5" s="1"/>
  <c r="T80" i="5"/>
  <c r="K86" i="5" s="1"/>
  <c r="J90" i="5" s="1"/>
  <c r="P90" i="5" s="1"/>
  <c r="V48" i="1"/>
  <c r="S45" i="1"/>
  <c r="U44" i="1"/>
  <c r="E122" i="5"/>
  <c r="Q48" i="1"/>
  <c r="CP49" i="1"/>
  <c r="O49" i="1" s="1"/>
  <c r="K140" i="5"/>
  <c r="GX47" i="1"/>
  <c r="Q65" i="1"/>
  <c r="CY46" i="1"/>
  <c r="X46" i="1" s="1"/>
  <c r="T125" i="5" s="1"/>
  <c r="S56" i="1"/>
  <c r="E170" i="5"/>
  <c r="P57" i="1"/>
  <c r="E171" i="5"/>
  <c r="CP63" i="1"/>
  <c r="O63" i="1" s="1"/>
  <c r="K201" i="5"/>
  <c r="GN61" i="1"/>
  <c r="T184" i="5"/>
  <c r="T65" i="1"/>
  <c r="U78" i="1"/>
  <c r="E237" i="5"/>
  <c r="GX78" i="1"/>
  <c r="CR83" i="1"/>
  <c r="Q83" i="1" s="1"/>
  <c r="K254" i="5" s="1"/>
  <c r="H254" i="5"/>
  <c r="U79" i="1"/>
  <c r="AB82" i="1"/>
  <c r="W65" i="1"/>
  <c r="T228" i="5"/>
  <c r="S78" i="1"/>
  <c r="CR80" i="1"/>
  <c r="Q80" i="1" s="1"/>
  <c r="K243" i="5" s="1"/>
  <c r="H243" i="5"/>
  <c r="L302" i="5"/>
  <c r="Q302" i="5" s="1"/>
  <c r="L301" i="5"/>
  <c r="GX94" i="1"/>
  <c r="E313" i="5"/>
  <c r="Q94" i="1"/>
  <c r="K331" i="5"/>
  <c r="CP137" i="1"/>
  <c r="O137" i="1" s="1"/>
  <c r="K354" i="5"/>
  <c r="T140" i="1"/>
  <c r="S134" i="1"/>
  <c r="E338" i="5"/>
  <c r="T134" i="1"/>
  <c r="CZ85" i="1"/>
  <c r="Y85" i="1" s="1"/>
  <c r="V261" i="5" s="1"/>
  <c r="CR86" i="1"/>
  <c r="Q86" i="1" s="1"/>
  <c r="K265" i="5" s="1"/>
  <c r="H265" i="5"/>
  <c r="CR88" i="1"/>
  <c r="Q88" i="1" s="1"/>
  <c r="K275" i="5" s="1"/>
  <c r="H275" i="5"/>
  <c r="G281" i="5" s="1"/>
  <c r="O281" i="5" s="1"/>
  <c r="Q134" i="1"/>
  <c r="CP136" i="1"/>
  <c r="O136" i="1" s="1"/>
  <c r="K349" i="5" s="1"/>
  <c r="U138" i="1"/>
  <c r="E360" i="5"/>
  <c r="GK146" i="1"/>
  <c r="K396" i="5"/>
  <c r="CY151" i="1"/>
  <c r="X151" i="1" s="1"/>
  <c r="T413" i="5" s="1"/>
  <c r="K419" i="5" s="1"/>
  <c r="CP153" i="1"/>
  <c r="O153" i="1" s="1"/>
  <c r="K429" i="5"/>
  <c r="CZ80" i="1"/>
  <c r="Y80" i="1" s="1"/>
  <c r="V240" i="5" s="1"/>
  <c r="GX95" i="1"/>
  <c r="AB98" i="1"/>
  <c r="U134" i="1"/>
  <c r="W138" i="1"/>
  <c r="CZ144" i="1"/>
  <c r="Y144" i="1" s="1"/>
  <c r="V389" i="5" s="1"/>
  <c r="K387" i="5" s="1"/>
  <c r="S236" i="1"/>
  <c r="U237" i="1"/>
  <c r="GX267" i="1"/>
  <c r="E606" i="5"/>
  <c r="U136" i="1"/>
  <c r="E349" i="5"/>
  <c r="AB146" i="1"/>
  <c r="CP148" i="1"/>
  <c r="O148" i="1" s="1"/>
  <c r="K405" i="5"/>
  <c r="V237" i="1"/>
  <c r="L558" i="5"/>
  <c r="Q558" i="5" s="1"/>
  <c r="L550" i="5"/>
  <c r="T136" i="1"/>
  <c r="V140" i="1"/>
  <c r="CY144" i="1"/>
  <c r="X144" i="1" s="1"/>
  <c r="T389" i="5" s="1"/>
  <c r="K386" i="5" s="1"/>
  <c r="CP234" i="1"/>
  <c r="O234" i="1" s="1"/>
  <c r="K512" i="5"/>
  <c r="CP245" i="1"/>
  <c r="O245" i="1" s="1"/>
  <c r="K547" i="5"/>
  <c r="U267" i="1"/>
  <c r="CR308" i="1"/>
  <c r="Q308" i="1" s="1"/>
  <c r="H626" i="5"/>
  <c r="GM309" i="1"/>
  <c r="T631" i="5"/>
  <c r="S237" i="1"/>
  <c r="R270" i="1"/>
  <c r="GK270" i="1" s="1"/>
  <c r="L654" i="5"/>
  <c r="Q654" i="5" s="1"/>
  <c r="L684" i="5" s="1"/>
  <c r="L653" i="5"/>
  <c r="Q78" i="1"/>
  <c r="U140" i="1"/>
  <c r="GX250" i="1"/>
  <c r="E555" i="5"/>
  <c r="R248" i="1"/>
  <c r="GK248" i="1" s="1"/>
  <c r="E553" i="5"/>
  <c r="CP247" i="1"/>
  <c r="O247" i="1" s="1"/>
  <c r="K552" i="5" s="1"/>
  <c r="T251" i="1"/>
  <c r="AB270" i="1"/>
  <c r="V58" i="1"/>
  <c r="CP264" i="1"/>
  <c r="O264" i="1" s="1"/>
  <c r="K600" i="5"/>
  <c r="U94" i="1"/>
  <c r="T237" i="1"/>
  <c r="GX352" i="1"/>
  <c r="CZ241" i="1"/>
  <c r="Y241" i="1" s="1"/>
  <c r="V530" i="5" s="1"/>
  <c r="K528" i="5" s="1"/>
  <c r="P251" i="1"/>
  <c r="CY305" i="1"/>
  <c r="X305" i="1" s="1"/>
  <c r="GN355" i="1"/>
  <c r="T680" i="5"/>
  <c r="GN309" i="1"/>
  <c r="W90" i="5"/>
  <c r="R27" i="5"/>
  <c r="G33" i="5"/>
  <c r="O33" i="5" s="1"/>
  <c r="W33" i="5"/>
  <c r="CR32" i="1"/>
  <c r="Q32" i="1" s="1"/>
  <c r="H62" i="5"/>
  <c r="W67" i="5" s="1"/>
  <c r="R61" i="5"/>
  <c r="G67" i="5"/>
  <c r="O67" i="5" s="1"/>
  <c r="L67" i="5"/>
  <c r="Q67" i="5" s="1"/>
  <c r="L66" i="5"/>
  <c r="G90" i="5"/>
  <c r="O90" i="5" s="1"/>
  <c r="U122" i="5"/>
  <c r="H120" i="5" s="1"/>
  <c r="S123" i="5"/>
  <c r="H119" i="5" s="1"/>
  <c r="H132" i="5"/>
  <c r="S134" i="5"/>
  <c r="H135" i="5"/>
  <c r="W135" i="5" s="1"/>
  <c r="CZ49" i="1"/>
  <c r="Y49" i="1" s="1"/>
  <c r="V137" i="5" s="1"/>
  <c r="K139" i="5"/>
  <c r="H171" i="5"/>
  <c r="W171" i="5" s="1"/>
  <c r="U172" i="5"/>
  <c r="H177" i="5"/>
  <c r="W185" i="5" s="1"/>
  <c r="CR59" i="1"/>
  <c r="Q59" i="1" s="1"/>
  <c r="G185" i="5"/>
  <c r="O185" i="5" s="1"/>
  <c r="H203" i="5"/>
  <c r="S205" i="5"/>
  <c r="S206" i="5"/>
  <c r="GK66" i="1"/>
  <c r="K212" i="5"/>
  <c r="K210" i="5"/>
  <c r="CZ66" i="1"/>
  <c r="Y66" i="1" s="1"/>
  <c r="V208" i="5" s="1"/>
  <c r="CY66" i="1"/>
  <c r="X66" i="1" s="1"/>
  <c r="T208" i="5" s="1"/>
  <c r="H217" i="5"/>
  <c r="W217" i="5" s="1"/>
  <c r="R67" i="1"/>
  <c r="GK67" i="1" s="1"/>
  <c r="E219" i="5"/>
  <c r="R69" i="1"/>
  <c r="GK69" i="1" s="1"/>
  <c r="GX69" i="1"/>
  <c r="Q74" i="1"/>
  <c r="S224" i="5"/>
  <c r="GX74" i="1"/>
  <c r="U226" i="5"/>
  <c r="U76" i="1"/>
  <c r="CR77" i="1"/>
  <c r="Q77" i="1" s="1"/>
  <c r="K231" i="5" s="1"/>
  <c r="H231" i="5"/>
  <c r="GX81" i="1"/>
  <c r="E249" i="5"/>
  <c r="S249" i="5"/>
  <c r="U81" i="1"/>
  <c r="E250" i="5"/>
  <c r="U82" i="1"/>
  <c r="U250" i="5"/>
  <c r="H247" i="5" s="1"/>
  <c r="GX82" i="1"/>
  <c r="W262" i="5"/>
  <c r="CP89" i="1"/>
  <c r="O89" i="1" s="1"/>
  <c r="K287" i="5"/>
  <c r="H312" i="5"/>
  <c r="W312" i="5" s="1"/>
  <c r="S312" i="5"/>
  <c r="H313" i="5"/>
  <c r="W313" i="5" s="1"/>
  <c r="G326" i="5"/>
  <c r="O326" i="5" s="1"/>
  <c r="H335" i="5"/>
  <c r="L339" i="5"/>
  <c r="Q339" i="5" s="1"/>
  <c r="L466" i="5" s="1"/>
  <c r="L337" i="5"/>
  <c r="R342" i="5"/>
  <c r="U349" i="5"/>
  <c r="H347" i="5" s="1"/>
  <c r="G41" i="5"/>
  <c r="O41" i="5" s="1"/>
  <c r="W41" i="5"/>
  <c r="R35" i="5"/>
  <c r="CR30" i="1"/>
  <c r="Q30" i="1" s="1"/>
  <c r="H44" i="5"/>
  <c r="G49" i="5" s="1"/>
  <c r="O49" i="5" s="1"/>
  <c r="R43" i="5"/>
  <c r="H74" i="5"/>
  <c r="W79" i="5" s="1"/>
  <c r="GK36" i="1"/>
  <c r="K84" i="5"/>
  <c r="CR40" i="1"/>
  <c r="Q40" i="1" s="1"/>
  <c r="K104" i="5" s="1"/>
  <c r="H104" i="5"/>
  <c r="H108" i="5"/>
  <c r="CR43" i="1"/>
  <c r="Q43" i="1" s="1"/>
  <c r="H116" i="5"/>
  <c r="R115" i="5"/>
  <c r="S135" i="5"/>
  <c r="K153" i="5"/>
  <c r="GK52" i="1"/>
  <c r="H170" i="5"/>
  <c r="W170" i="5" s="1"/>
  <c r="S170" i="5"/>
  <c r="H167" i="5" s="1"/>
  <c r="U171" i="5"/>
  <c r="H168" i="5" s="1"/>
  <c r="H172" i="5"/>
  <c r="W172" i="5" s="1"/>
  <c r="GK59" i="1"/>
  <c r="K178" i="5"/>
  <c r="CZ59" i="1"/>
  <c r="Y59" i="1" s="1"/>
  <c r="V174" i="5" s="1"/>
  <c r="R210" i="5"/>
  <c r="Q67" i="1"/>
  <c r="CP67" i="1" s="1"/>
  <c r="O67" i="1" s="1"/>
  <c r="U217" i="5"/>
  <c r="V67" i="1"/>
  <c r="U219" i="5"/>
  <c r="S69" i="1"/>
  <c r="Q69" i="1"/>
  <c r="V69" i="1"/>
  <c r="H224" i="5"/>
  <c r="W224" i="5" s="1"/>
  <c r="V74" i="1"/>
  <c r="W74" i="1"/>
  <c r="T76" i="1"/>
  <c r="W76" i="1"/>
  <c r="H237" i="5"/>
  <c r="W237" i="5" s="1"/>
  <c r="U237" i="5"/>
  <c r="U238" i="5"/>
  <c r="H246" i="5"/>
  <c r="G251" i="5" s="1"/>
  <c r="O251" i="5" s="1"/>
  <c r="R242" i="5"/>
  <c r="T81" i="1"/>
  <c r="V82" i="1"/>
  <c r="W82" i="1"/>
  <c r="H261" i="5"/>
  <c r="W261" i="5" s="1"/>
  <c r="H267" i="5"/>
  <c r="G271" i="5" s="1"/>
  <c r="O271" i="5" s="1"/>
  <c r="CP36" i="1"/>
  <c r="O36" i="1" s="1"/>
  <c r="GM36" i="1" s="1"/>
  <c r="GX67" i="1"/>
  <c r="T74" i="1"/>
  <c r="CZ89" i="1"/>
  <c r="Y89" i="1" s="1"/>
  <c r="V282" i="5" s="1"/>
  <c r="K284" i="5"/>
  <c r="CY89" i="1"/>
  <c r="X89" i="1" s="1"/>
  <c r="T282" i="5" s="1"/>
  <c r="U291" i="5"/>
  <c r="H289" i="5" s="1"/>
  <c r="GK92" i="1"/>
  <c r="K307" i="5"/>
  <c r="H306" i="5"/>
  <c r="CR92" i="1"/>
  <c r="Q92" i="1" s="1"/>
  <c r="K306" i="5" s="1"/>
  <c r="U314" i="5"/>
  <c r="H310" i="5" s="1"/>
  <c r="H315" i="5"/>
  <c r="W315" i="5" s="1"/>
  <c r="BB26" i="1"/>
  <c r="F113" i="1"/>
  <c r="H338" i="5"/>
  <c r="X338" i="5" s="1"/>
  <c r="U338" i="5"/>
  <c r="H336" i="5" s="1"/>
  <c r="U371" i="5"/>
  <c r="H369" i="5" s="1"/>
  <c r="R374" i="5"/>
  <c r="X380" i="5"/>
  <c r="G380" i="5"/>
  <c r="O380" i="5" s="1"/>
  <c r="R394" i="5"/>
  <c r="X402" i="5"/>
  <c r="G402" i="5"/>
  <c r="O402" i="5" s="1"/>
  <c r="H451" i="5"/>
  <c r="CY158" i="1"/>
  <c r="X158" i="1" s="1"/>
  <c r="T453" i="5" s="1"/>
  <c r="K450" i="5" s="1"/>
  <c r="CZ158" i="1"/>
  <c r="Y158" i="1" s="1"/>
  <c r="V453" i="5" s="1"/>
  <c r="K451" i="5" s="1"/>
  <c r="AO131" i="1"/>
  <c r="F166" i="1"/>
  <c r="R469" i="5"/>
  <c r="G473" i="5"/>
  <c r="O473" i="5" s="1"/>
  <c r="Z473" i="5"/>
  <c r="G480" i="5"/>
  <c r="O480" i="5" s="1"/>
  <c r="R476" i="5"/>
  <c r="Z480" i="5"/>
  <c r="R482" i="5"/>
  <c r="G486" i="5"/>
  <c r="O486" i="5" s="1"/>
  <c r="Z486" i="5"/>
  <c r="J486" i="5"/>
  <c r="P486" i="5" s="1"/>
  <c r="GK232" i="1"/>
  <c r="K493" i="5"/>
  <c r="H501" i="5"/>
  <c r="AB233" i="1"/>
  <c r="CR233" i="1"/>
  <c r="Q233" i="1" s="1"/>
  <c r="S517" i="5"/>
  <c r="H513" i="5" s="1"/>
  <c r="U518" i="5"/>
  <c r="H514" i="5" s="1"/>
  <c r="K525" i="5"/>
  <c r="GK240" i="1"/>
  <c r="H539" i="5"/>
  <c r="S551" i="5"/>
  <c r="H553" i="5"/>
  <c r="W553" i="5" s="1"/>
  <c r="H564" i="5"/>
  <c r="X567" i="5" s="1"/>
  <c r="R560" i="5"/>
  <c r="H574" i="5"/>
  <c r="H605" i="5"/>
  <c r="W605" i="5" s="1"/>
  <c r="S606" i="5"/>
  <c r="H601" i="5" s="1"/>
  <c r="U609" i="5"/>
  <c r="H602" i="5" s="1"/>
  <c r="CR347" i="1"/>
  <c r="Q347" i="1" s="1"/>
  <c r="K649" i="5" s="1"/>
  <c r="H649" i="5"/>
  <c r="W654" i="5" s="1"/>
  <c r="H661" i="5"/>
  <c r="CY350" i="1"/>
  <c r="X350" i="1" s="1"/>
  <c r="T665" i="5" s="1"/>
  <c r="CZ350" i="1"/>
  <c r="Y350" i="1" s="1"/>
  <c r="V665" i="5" s="1"/>
  <c r="H670" i="5"/>
  <c r="CR351" i="1"/>
  <c r="Q351" i="1" s="1"/>
  <c r="K670" i="5" s="1"/>
  <c r="U676" i="5"/>
  <c r="BB344" i="1"/>
  <c r="F371" i="1"/>
  <c r="W67" i="1"/>
  <c r="U69" i="1"/>
  <c r="Q81" i="1"/>
  <c r="P81" i="1"/>
  <c r="CP81" i="1" s="1"/>
  <c r="O81" i="1" s="1"/>
  <c r="K249" i="5" s="1"/>
  <c r="L316" i="5"/>
  <c r="Q316" i="5" s="1"/>
  <c r="L311" i="5"/>
  <c r="S313" i="5"/>
  <c r="GX96" i="1"/>
  <c r="CR133" i="1"/>
  <c r="Q133" i="1" s="1"/>
  <c r="K332" i="5" s="1"/>
  <c r="H332" i="5"/>
  <c r="CR135" i="1"/>
  <c r="Q135" i="1" s="1"/>
  <c r="H343" i="5"/>
  <c r="H358" i="5"/>
  <c r="H360" i="5"/>
  <c r="X360" i="5" s="1"/>
  <c r="S360" i="5"/>
  <c r="H357" i="5" s="1"/>
  <c r="CR139" i="1"/>
  <c r="Q139" i="1" s="1"/>
  <c r="H365" i="5"/>
  <c r="R364" i="5"/>
  <c r="R382" i="5"/>
  <c r="X391" i="5"/>
  <c r="H389" i="5"/>
  <c r="X389" i="5" s="1"/>
  <c r="H407" i="5"/>
  <c r="G412" i="5" s="1"/>
  <c r="O412" i="5" s="1"/>
  <c r="H439" i="5"/>
  <c r="CY156" i="1"/>
  <c r="X156" i="1" s="1"/>
  <c r="CZ156" i="1"/>
  <c r="Y156" i="1" s="1"/>
  <c r="V442" i="5" s="1"/>
  <c r="GK159" i="1"/>
  <c r="K459" i="5"/>
  <c r="L497" i="5"/>
  <c r="Q497" i="5" s="1"/>
  <c r="L496" i="5"/>
  <c r="G506" i="5"/>
  <c r="O506" i="5" s="1"/>
  <c r="R500" i="5"/>
  <c r="W506" i="5"/>
  <c r="L515" i="5"/>
  <c r="L521" i="5"/>
  <c r="Q521" i="5" s="1"/>
  <c r="H518" i="5"/>
  <c r="W518" i="5" s="1"/>
  <c r="CZ244" i="1"/>
  <c r="Y244" i="1" s="1"/>
  <c r="V542" i="5" s="1"/>
  <c r="K539" i="5" s="1"/>
  <c r="T247" i="1"/>
  <c r="E552" i="5"/>
  <c r="S552" i="5"/>
  <c r="S553" i="5"/>
  <c r="U554" i="5"/>
  <c r="U555" i="5"/>
  <c r="U556" i="5"/>
  <c r="T266" i="1"/>
  <c r="H629" i="5"/>
  <c r="R648" i="5"/>
  <c r="G654" i="5"/>
  <c r="O654" i="5" s="1"/>
  <c r="CR348" i="1"/>
  <c r="Q348" i="1" s="1"/>
  <c r="K658" i="5" s="1"/>
  <c r="H658" i="5"/>
  <c r="W666" i="5" s="1"/>
  <c r="V350" i="1"/>
  <c r="H674" i="5"/>
  <c r="H676" i="5"/>
  <c r="W676" i="5" s="1"/>
  <c r="S677" i="5"/>
  <c r="H673" i="5" s="1"/>
  <c r="P96" i="1"/>
  <c r="CP96" i="1" s="1"/>
  <c r="O96" i="1" s="1"/>
  <c r="P350" i="1"/>
  <c r="CP350" i="1" s="1"/>
  <c r="O350" i="1" s="1"/>
  <c r="GN49" i="1"/>
  <c r="GM49" i="1"/>
  <c r="GM269" i="1"/>
  <c r="GN269" i="1"/>
  <c r="GM137" i="1"/>
  <c r="GO137" i="1"/>
  <c r="GO148" i="1"/>
  <c r="GM148" i="1"/>
  <c r="GN97" i="1"/>
  <c r="GM97" i="1"/>
  <c r="GN70" i="1"/>
  <c r="GM70" i="1"/>
  <c r="GM68" i="1"/>
  <c r="GN68" i="1"/>
  <c r="GK153" i="1"/>
  <c r="CZ153" i="1"/>
  <c r="Y153" i="1" s="1"/>
  <c r="V424" i="5" s="1"/>
  <c r="K431" i="5" s="1"/>
  <c r="AU26" i="1"/>
  <c r="F119" i="1"/>
  <c r="CP76" i="1"/>
  <c r="O76" i="1" s="1"/>
  <c r="K226" i="5" s="1"/>
  <c r="GO159" i="1"/>
  <c r="GM159" i="1"/>
  <c r="T199" i="1"/>
  <c r="AG193" i="1"/>
  <c r="GK235" i="1"/>
  <c r="CZ235" i="1"/>
  <c r="Y235" i="1" s="1"/>
  <c r="V516" i="5" s="1"/>
  <c r="GM239" i="1"/>
  <c r="GN239" i="1"/>
  <c r="GM256" i="1"/>
  <c r="GN256" i="1"/>
  <c r="CP257" i="1"/>
  <c r="O257" i="1" s="1"/>
  <c r="K578" i="5" s="1"/>
  <c r="BY230" i="1"/>
  <c r="AP272" i="1"/>
  <c r="CI272" i="1"/>
  <c r="AP303" i="1"/>
  <c r="F322" i="1"/>
  <c r="GX249" i="1"/>
  <c r="GK346" i="1"/>
  <c r="CZ346" i="1"/>
  <c r="Y346" i="1" s="1"/>
  <c r="V637" i="5" s="1"/>
  <c r="K643" i="5" s="1"/>
  <c r="V246" i="1"/>
  <c r="GN34" i="1"/>
  <c r="GM34" i="1"/>
  <c r="CZ31" i="1"/>
  <c r="Y31" i="1" s="1"/>
  <c r="V50" i="5" s="1"/>
  <c r="K56" i="5" s="1"/>
  <c r="CY31" i="1"/>
  <c r="X31" i="1" s="1"/>
  <c r="T50" i="5" s="1"/>
  <c r="K55" i="5" s="1"/>
  <c r="AB54" i="1"/>
  <c r="CR54" i="1"/>
  <c r="Q54" i="1" s="1"/>
  <c r="CP54" i="1" s="1"/>
  <c r="O54" i="1" s="1"/>
  <c r="K159" i="5" s="1"/>
  <c r="CP31" i="1"/>
  <c r="O31" i="1" s="1"/>
  <c r="GM29" i="1"/>
  <c r="P56" i="1"/>
  <c r="GM50" i="1"/>
  <c r="GN50" i="1"/>
  <c r="GK33" i="1"/>
  <c r="CY33" i="1"/>
  <c r="X33" i="1" s="1"/>
  <c r="T68" i="5" s="1"/>
  <c r="K74" i="5" s="1"/>
  <c r="U45" i="1"/>
  <c r="W56" i="1"/>
  <c r="GM37" i="1"/>
  <c r="GN37" i="1"/>
  <c r="AB42" i="1"/>
  <c r="CR42" i="1"/>
  <c r="Q42" i="1" s="1"/>
  <c r="CP42" i="1" s="1"/>
  <c r="O42" i="1" s="1"/>
  <c r="K111" i="5" s="1"/>
  <c r="AB56" i="1"/>
  <c r="CR56" i="1"/>
  <c r="Q56" i="1" s="1"/>
  <c r="CY54" i="1"/>
  <c r="X54" i="1" s="1"/>
  <c r="T159" i="5" s="1"/>
  <c r="GX64" i="1"/>
  <c r="GN73" i="1"/>
  <c r="GM73" i="1"/>
  <c r="T44" i="1"/>
  <c r="CY53" i="1"/>
  <c r="X53" i="1" s="1"/>
  <c r="T158" i="5" s="1"/>
  <c r="T78" i="1"/>
  <c r="CZ91" i="1"/>
  <c r="Y91" i="1" s="1"/>
  <c r="V293" i="5" s="1"/>
  <c r="K300" i="5" s="1"/>
  <c r="CY91" i="1"/>
  <c r="X91" i="1" s="1"/>
  <c r="T293" i="5" s="1"/>
  <c r="K299" i="5" s="1"/>
  <c r="GN75" i="1"/>
  <c r="GM75" i="1"/>
  <c r="V79" i="1"/>
  <c r="GX79" i="1"/>
  <c r="P79" i="1"/>
  <c r="CP80" i="1"/>
  <c r="O80" i="1" s="1"/>
  <c r="S93" i="1"/>
  <c r="AO26" i="1"/>
  <c r="F104" i="1"/>
  <c r="AO387" i="1"/>
  <c r="W79" i="1"/>
  <c r="CP82" i="1"/>
  <c r="O82" i="1" s="1"/>
  <c r="K250" i="5" s="1"/>
  <c r="T95" i="1"/>
  <c r="R95" i="1"/>
  <c r="GK95" i="1" s="1"/>
  <c r="R93" i="1"/>
  <c r="GK93" i="1" s="1"/>
  <c r="V95" i="1"/>
  <c r="AB141" i="1"/>
  <c r="CC26" i="1"/>
  <c r="AT100" i="1"/>
  <c r="CP91" i="1"/>
  <c r="O91" i="1" s="1"/>
  <c r="R134" i="1"/>
  <c r="CZ134" i="1" s="1"/>
  <c r="Y134" i="1" s="1"/>
  <c r="V338" i="5" s="1"/>
  <c r="AB149" i="1"/>
  <c r="CY153" i="1"/>
  <c r="X153" i="1" s="1"/>
  <c r="AB76" i="1"/>
  <c r="U93" i="1"/>
  <c r="CP98" i="1"/>
  <c r="O98" i="1" s="1"/>
  <c r="K325" i="5" s="1"/>
  <c r="J326" i="5" s="1"/>
  <c r="P326" i="5" s="1"/>
  <c r="CP142" i="1"/>
  <c r="O142" i="1" s="1"/>
  <c r="K379" i="5" s="1"/>
  <c r="GO158" i="1"/>
  <c r="GM158" i="1"/>
  <c r="BB230" i="1"/>
  <c r="F285" i="1"/>
  <c r="BB387" i="1"/>
  <c r="AB144" i="1"/>
  <c r="GM160" i="1"/>
  <c r="GO160" i="1"/>
  <c r="CZ76" i="1"/>
  <c r="Y76" i="1" s="1"/>
  <c r="V226" i="5" s="1"/>
  <c r="Q140" i="1"/>
  <c r="GO143" i="1"/>
  <c r="GM143" i="1"/>
  <c r="F217" i="1"/>
  <c r="AT193" i="1"/>
  <c r="GN240" i="1"/>
  <c r="GM240" i="1"/>
  <c r="CP252" i="1"/>
  <c r="O252" i="1" s="1"/>
  <c r="K557" i="5" s="1"/>
  <c r="CY265" i="1"/>
  <c r="X265" i="1" s="1"/>
  <c r="T604" i="5" s="1"/>
  <c r="CZ265" i="1"/>
  <c r="Y265" i="1" s="1"/>
  <c r="V604" i="5" s="1"/>
  <c r="W267" i="1"/>
  <c r="GX270" i="1"/>
  <c r="AC313" i="1"/>
  <c r="GK308" i="1"/>
  <c r="CZ308" i="1"/>
  <c r="Y308" i="1" s="1"/>
  <c r="AU131" i="1"/>
  <c r="F181" i="1"/>
  <c r="P236" i="1"/>
  <c r="CP236" i="1" s="1"/>
  <c r="O236" i="1" s="1"/>
  <c r="K517" i="5" s="1"/>
  <c r="AD313" i="1"/>
  <c r="R78" i="1"/>
  <c r="GK78" i="1" s="1"/>
  <c r="AQ26" i="1"/>
  <c r="F110" i="1"/>
  <c r="BZ230" i="1"/>
  <c r="AQ272" i="1"/>
  <c r="R246" i="1"/>
  <c r="GK246" i="1" s="1"/>
  <c r="Q249" i="1"/>
  <c r="CD230" i="1"/>
  <c r="AU272" i="1"/>
  <c r="GN261" i="1"/>
  <c r="GM261" i="1"/>
  <c r="S267" i="1"/>
  <c r="CP267" i="1" s="1"/>
  <c r="O267" i="1" s="1"/>
  <c r="K606" i="5" s="1"/>
  <c r="AL199" i="1"/>
  <c r="GK258" i="1"/>
  <c r="CZ258" i="1"/>
  <c r="Y258" i="1" s="1"/>
  <c r="S270" i="1"/>
  <c r="CP347" i="1"/>
  <c r="O347" i="1" s="1"/>
  <c r="CI131" i="1"/>
  <c r="AZ162" i="1"/>
  <c r="AX199" i="1"/>
  <c r="CG193" i="1"/>
  <c r="P249" i="1"/>
  <c r="Q251" i="1"/>
  <c r="CY263" i="1"/>
  <c r="X263" i="1" s="1"/>
  <c r="T593" i="5" s="1"/>
  <c r="K589" i="5" s="1"/>
  <c r="CZ263" i="1"/>
  <c r="Y263" i="1" s="1"/>
  <c r="V267" i="1"/>
  <c r="AH303" i="1"/>
  <c r="U313" i="1"/>
  <c r="CY349" i="1"/>
  <c r="X349" i="1" s="1"/>
  <c r="CZ349" i="1"/>
  <c r="Y349" i="1" s="1"/>
  <c r="V664" i="5" s="1"/>
  <c r="K662" i="5" s="1"/>
  <c r="T352" i="1"/>
  <c r="Q352" i="1"/>
  <c r="CP352" i="1" s="1"/>
  <c r="O352" i="1" s="1"/>
  <c r="K676" i="5" s="1"/>
  <c r="W352" i="1"/>
  <c r="P353" i="1"/>
  <c r="AU344" i="1"/>
  <c r="F377" i="1"/>
  <c r="W313" i="1"/>
  <c r="AJ303" i="1"/>
  <c r="AP26" i="1"/>
  <c r="F109" i="1"/>
  <c r="AP387" i="1"/>
  <c r="GM238" i="1"/>
  <c r="GN238" i="1"/>
  <c r="GM254" i="1"/>
  <c r="GO254" i="1"/>
  <c r="S313" i="1"/>
  <c r="AF303" i="1"/>
  <c r="Q246" i="1"/>
  <c r="T267" i="1"/>
  <c r="W353" i="1"/>
  <c r="S251" i="1"/>
  <c r="AB46" i="1"/>
  <c r="CR46" i="1"/>
  <c r="Q46" i="1" s="1"/>
  <c r="CY41" i="1"/>
  <c r="X41" i="1" s="1"/>
  <c r="CZ41" i="1"/>
  <c r="Y41" i="1" s="1"/>
  <c r="V110" i="5" s="1"/>
  <c r="GK149" i="1"/>
  <c r="CZ149" i="1"/>
  <c r="Y149" i="1" s="1"/>
  <c r="V410" i="5" s="1"/>
  <c r="K408" i="5" s="1"/>
  <c r="CY142" i="1"/>
  <c r="X142" i="1" s="1"/>
  <c r="T379" i="5" s="1"/>
  <c r="K376" i="5" s="1"/>
  <c r="CZ142" i="1"/>
  <c r="Y142" i="1" s="1"/>
  <c r="V379" i="5" s="1"/>
  <c r="K377" i="5" s="1"/>
  <c r="P93" i="1"/>
  <c r="CZ95" i="1"/>
  <c r="Y95" i="1" s="1"/>
  <c r="V314" i="5" s="1"/>
  <c r="CY95" i="1"/>
  <c r="X95" i="1" s="1"/>
  <c r="T314" i="5" s="1"/>
  <c r="CP134" i="1"/>
  <c r="O134" i="1" s="1"/>
  <c r="K338" i="5" s="1"/>
  <c r="AC162" i="1"/>
  <c r="GM241" i="1"/>
  <c r="GN241" i="1"/>
  <c r="CJ193" i="1"/>
  <c r="BA199" i="1"/>
  <c r="CY257" i="1"/>
  <c r="X257" i="1" s="1"/>
  <c r="T578" i="5" s="1"/>
  <c r="CZ257" i="1"/>
  <c r="Y257" i="1" s="1"/>
  <c r="V578" i="5" s="1"/>
  <c r="CY351" i="1"/>
  <c r="X351" i="1" s="1"/>
  <c r="T667" i="5" s="1"/>
  <c r="CZ351" i="1"/>
  <c r="Y351" i="1" s="1"/>
  <c r="V667" i="5" s="1"/>
  <c r="AE193" i="1"/>
  <c r="R199" i="1"/>
  <c r="V249" i="1"/>
  <c r="GM243" i="1"/>
  <c r="GN243" i="1"/>
  <c r="CY248" i="1"/>
  <c r="X248" i="1" s="1"/>
  <c r="T553" i="5" s="1"/>
  <c r="CZ248" i="1"/>
  <c r="Y248" i="1" s="1"/>
  <c r="V553" i="5" s="1"/>
  <c r="GN306" i="1"/>
  <c r="GM306" i="1"/>
  <c r="AO193" i="1"/>
  <c r="F203" i="1"/>
  <c r="AG303" i="1"/>
  <c r="T313" i="1"/>
  <c r="V353" i="1"/>
  <c r="AI358" i="1" s="1"/>
  <c r="CI26" i="1"/>
  <c r="AZ100" i="1"/>
  <c r="F221" i="1"/>
  <c r="U193" i="1"/>
  <c r="T353" i="1"/>
  <c r="V45" i="1"/>
  <c r="GM63" i="1"/>
  <c r="GN63" i="1"/>
  <c r="CZ81" i="1"/>
  <c r="Y81" i="1" s="1"/>
  <c r="V249" i="5" s="1"/>
  <c r="CY81" i="1"/>
  <c r="X81" i="1" s="1"/>
  <c r="AB83" i="1"/>
  <c r="P45" i="1"/>
  <c r="Q64" i="1"/>
  <c r="CY78" i="1"/>
  <c r="X78" i="1" s="1"/>
  <c r="T237" i="5" s="1"/>
  <c r="CZ78" i="1"/>
  <c r="Y78" i="1" s="1"/>
  <c r="V237" i="5" s="1"/>
  <c r="W94" i="1"/>
  <c r="T94" i="1"/>
  <c r="S94" i="1"/>
  <c r="CY133" i="1"/>
  <c r="X133" i="1" s="1"/>
  <c r="T329" i="5" s="1"/>
  <c r="CZ133" i="1"/>
  <c r="Y133" i="1" s="1"/>
  <c r="CY138" i="1"/>
  <c r="X138" i="1" s="1"/>
  <c r="T360" i="5" s="1"/>
  <c r="K357" i="5" s="1"/>
  <c r="CZ138" i="1"/>
  <c r="Y138" i="1" s="1"/>
  <c r="V360" i="5" s="1"/>
  <c r="K358" i="5" s="1"/>
  <c r="CY88" i="1"/>
  <c r="X88" i="1" s="1"/>
  <c r="T272" i="5" s="1"/>
  <c r="K278" i="5" s="1"/>
  <c r="Q93" i="1"/>
  <c r="GM152" i="1"/>
  <c r="GO152" i="1"/>
  <c r="CY85" i="1"/>
  <c r="X85" i="1" s="1"/>
  <c r="T261" i="5" s="1"/>
  <c r="GX93" i="1"/>
  <c r="CY149" i="1"/>
  <c r="X149" i="1" s="1"/>
  <c r="T410" i="5" s="1"/>
  <c r="K407" i="5" s="1"/>
  <c r="CP151" i="1"/>
  <c r="O151" i="1" s="1"/>
  <c r="BC26" i="1"/>
  <c r="F116" i="1"/>
  <c r="BC387" i="1"/>
  <c r="CZ146" i="1"/>
  <c r="Y146" i="1" s="1"/>
  <c r="T236" i="1"/>
  <c r="U236" i="1"/>
  <c r="W236" i="1"/>
  <c r="V193" i="1"/>
  <c r="F222" i="1"/>
  <c r="CY235" i="1"/>
  <c r="X235" i="1" s="1"/>
  <c r="T516" i="5" s="1"/>
  <c r="CB131" i="1"/>
  <c r="AS162" i="1"/>
  <c r="CY146" i="1"/>
  <c r="X146" i="1" s="1"/>
  <c r="GP197" i="1"/>
  <c r="GM197" i="1"/>
  <c r="GM234" i="1"/>
  <c r="GN234" i="1"/>
  <c r="R236" i="1"/>
  <c r="GK236" i="1" s="1"/>
  <c r="CZ247" i="1"/>
  <c r="Y247" i="1" s="1"/>
  <c r="V552" i="5" s="1"/>
  <c r="CY247" i="1"/>
  <c r="X247" i="1" s="1"/>
  <c r="W199" i="1"/>
  <c r="AJ193" i="1"/>
  <c r="GM245" i="1"/>
  <c r="GN245" i="1"/>
  <c r="AO230" i="1"/>
  <c r="F276" i="1"/>
  <c r="AQ313" i="1"/>
  <c r="BZ303" i="1"/>
  <c r="CG313" i="1"/>
  <c r="CY347" i="1"/>
  <c r="X347" i="1" s="1"/>
  <c r="T646" i="5" s="1"/>
  <c r="K651" i="5" s="1"/>
  <c r="CZ347" i="1"/>
  <c r="Y347" i="1" s="1"/>
  <c r="V646" i="5" s="1"/>
  <c r="K652" i="5" s="1"/>
  <c r="CY352" i="1"/>
  <c r="X352" i="1" s="1"/>
  <c r="T676" i="5" s="1"/>
  <c r="CZ352" i="1"/>
  <c r="Y352" i="1" s="1"/>
  <c r="V676" i="5" s="1"/>
  <c r="F211" i="1"/>
  <c r="Q193" i="1"/>
  <c r="Q270" i="1"/>
  <c r="V78" i="1"/>
  <c r="W248" i="1"/>
  <c r="GX248" i="1"/>
  <c r="P248" i="1"/>
  <c r="S249" i="1"/>
  <c r="AB258" i="1"/>
  <c r="S199" i="1"/>
  <c r="AF193" i="1"/>
  <c r="S246" i="1"/>
  <c r="T249" i="1"/>
  <c r="CI313" i="1"/>
  <c r="AQ131" i="1"/>
  <c r="F172" i="1"/>
  <c r="AP193" i="1"/>
  <c r="F208" i="1"/>
  <c r="W246" i="1"/>
  <c r="CP266" i="1"/>
  <c r="O266" i="1" s="1"/>
  <c r="K605" i="5" s="1"/>
  <c r="AU313" i="1"/>
  <c r="CD303" i="1"/>
  <c r="AB346" i="1"/>
  <c r="CR346" i="1"/>
  <c r="Q346" i="1" s="1"/>
  <c r="K640" i="5" s="1"/>
  <c r="J645" i="5" s="1"/>
  <c r="P645" i="5" s="1"/>
  <c r="AC358" i="1"/>
  <c r="CI344" i="1"/>
  <c r="AZ358" i="1"/>
  <c r="CG344" i="1"/>
  <c r="AX358" i="1"/>
  <c r="GN255" i="1"/>
  <c r="GM255" i="1"/>
  <c r="AT344" i="1"/>
  <c r="F376" i="1"/>
  <c r="Q248" i="1"/>
  <c r="P250" i="1"/>
  <c r="GM356" i="1"/>
  <c r="GN356" i="1"/>
  <c r="F331" i="1"/>
  <c r="AT303" i="1"/>
  <c r="CP28" i="1"/>
  <c r="O28" i="1" s="1"/>
  <c r="CZ45" i="1"/>
  <c r="Y45" i="1" s="1"/>
  <c r="V123" i="5" s="1"/>
  <c r="CY45" i="1"/>
  <c r="X45" i="1" s="1"/>
  <c r="T123" i="5" s="1"/>
  <c r="CY55" i="1"/>
  <c r="X55" i="1" s="1"/>
  <c r="T161" i="5" s="1"/>
  <c r="CZ55" i="1"/>
  <c r="Y55" i="1" s="1"/>
  <c r="V161" i="5" s="1"/>
  <c r="CP55" i="1"/>
  <c r="O55" i="1" s="1"/>
  <c r="GN66" i="1"/>
  <c r="GM66" i="1"/>
  <c r="CG26" i="1"/>
  <c r="AX100" i="1"/>
  <c r="CZ87" i="1"/>
  <c r="Y87" i="1" s="1"/>
  <c r="V270" i="5" s="1"/>
  <c r="K268" i="5" s="1"/>
  <c r="CY87" i="1"/>
  <c r="X87" i="1" s="1"/>
  <c r="GM150" i="1"/>
  <c r="GO150" i="1"/>
  <c r="GN244" i="1"/>
  <c r="GM244" i="1"/>
  <c r="CG230" i="1"/>
  <c r="AX272" i="1"/>
  <c r="GM307" i="1"/>
  <c r="GN307" i="1"/>
  <c r="GM262" i="1"/>
  <c r="GN262" i="1"/>
  <c r="GM264" i="1"/>
  <c r="GN264" i="1"/>
  <c r="CY252" i="1"/>
  <c r="X252" i="1" s="1"/>
  <c r="T557" i="5" s="1"/>
  <c r="CZ252" i="1"/>
  <c r="Y252" i="1" s="1"/>
  <c r="V557" i="5" s="1"/>
  <c r="GM268" i="1"/>
  <c r="GN268" i="1"/>
  <c r="AB308" i="1"/>
  <c r="GX353" i="1"/>
  <c r="CJ358" i="1" s="1"/>
  <c r="S353" i="1"/>
  <c r="AF358" i="1" s="1"/>
  <c r="BC344" i="1"/>
  <c r="F374" i="1"/>
  <c r="BB303" i="1"/>
  <c r="F326" i="1"/>
  <c r="CY38" i="1"/>
  <c r="X38" i="1" s="1"/>
  <c r="CZ38" i="1"/>
  <c r="Y38" i="1" s="1"/>
  <c r="GM35" i="1"/>
  <c r="GN35" i="1"/>
  <c r="W45" i="1"/>
  <c r="GK31" i="1"/>
  <c r="Q45" i="1"/>
  <c r="T64" i="1"/>
  <c r="P64" i="1"/>
  <c r="GN71" i="1"/>
  <c r="GM71" i="1"/>
  <c r="GX56" i="1"/>
  <c r="AB78" i="1"/>
  <c r="CP85" i="1"/>
  <c r="O85" i="1" s="1"/>
  <c r="K261" i="5" s="1"/>
  <c r="P47" i="1"/>
  <c r="T47" i="1"/>
  <c r="S48" i="1"/>
  <c r="W48" i="1"/>
  <c r="AB44" i="1"/>
  <c r="CR44" i="1"/>
  <c r="Q44" i="1" s="1"/>
  <c r="R48" i="1"/>
  <c r="GK48" i="1" s="1"/>
  <c r="S44" i="1"/>
  <c r="CP44" i="1" s="1"/>
  <c r="O44" i="1" s="1"/>
  <c r="K122" i="5" s="1"/>
  <c r="GX45" i="1"/>
  <c r="V47" i="1"/>
  <c r="CY51" i="1"/>
  <c r="X51" i="1" s="1"/>
  <c r="CZ51" i="1"/>
  <c r="Y51" i="1" s="1"/>
  <c r="V147" i="5" s="1"/>
  <c r="AB33" i="1"/>
  <c r="CR33" i="1"/>
  <c r="Q33" i="1" s="1"/>
  <c r="CZ39" i="1"/>
  <c r="Y39" i="1" s="1"/>
  <c r="CY39" i="1"/>
  <c r="X39" i="1" s="1"/>
  <c r="S57" i="1"/>
  <c r="CP57" i="1" s="1"/>
  <c r="O57" i="1" s="1"/>
  <c r="K171" i="5" s="1"/>
  <c r="GK42" i="1"/>
  <c r="CZ42" i="1"/>
  <c r="Y42" i="1" s="1"/>
  <c r="V111" i="5" s="1"/>
  <c r="R56" i="1"/>
  <c r="GK56" i="1" s="1"/>
  <c r="CZ54" i="1"/>
  <c r="Y54" i="1" s="1"/>
  <c r="V159" i="5" s="1"/>
  <c r="GX65" i="1"/>
  <c r="S65" i="1"/>
  <c r="W64" i="1"/>
  <c r="P65" i="1"/>
  <c r="CP65" i="1" s="1"/>
  <c r="O65" i="1" s="1"/>
  <c r="K206" i="5" s="1"/>
  <c r="CP53" i="1"/>
  <c r="O53" i="1" s="1"/>
  <c r="K158" i="5" s="1"/>
  <c r="GX58" i="1"/>
  <c r="W58" i="1"/>
  <c r="S58" i="1"/>
  <c r="CZ53" i="1"/>
  <c r="Y53" i="1" s="1"/>
  <c r="V158" i="5" s="1"/>
  <c r="GM72" i="1"/>
  <c r="GN72" i="1"/>
  <c r="S64" i="1"/>
  <c r="P78" i="1"/>
  <c r="CP78" i="1" s="1"/>
  <c r="O78" i="1" s="1"/>
  <c r="K237" i="5" s="1"/>
  <c r="AB80" i="1"/>
  <c r="AB85" i="1"/>
  <c r="CP88" i="1"/>
  <c r="O88" i="1" s="1"/>
  <c r="V94" i="1"/>
  <c r="U64" i="1"/>
  <c r="S79" i="1"/>
  <c r="CP83" i="1"/>
  <c r="O83" i="1" s="1"/>
  <c r="S90" i="1"/>
  <c r="CP90" i="1" s="1"/>
  <c r="O90" i="1" s="1"/>
  <c r="K291" i="5" s="1"/>
  <c r="W90" i="1"/>
  <c r="T90" i="1"/>
  <c r="S47" i="1"/>
  <c r="T48" i="1"/>
  <c r="R64" i="1"/>
  <c r="GK64" i="1" s="1"/>
  <c r="T79" i="1"/>
  <c r="AG100" i="1" s="1"/>
  <c r="CY83" i="1"/>
  <c r="X83" i="1" s="1"/>
  <c r="T252" i="5" s="1"/>
  <c r="P95" i="1"/>
  <c r="CP95" i="1" s="1"/>
  <c r="O95" i="1" s="1"/>
  <c r="K314" i="5" s="1"/>
  <c r="CP141" i="1"/>
  <c r="O141" i="1" s="1"/>
  <c r="GK151" i="1"/>
  <c r="CZ151" i="1"/>
  <c r="Y151" i="1" s="1"/>
  <c r="V413" i="5" s="1"/>
  <c r="K420" i="5" s="1"/>
  <c r="GK60" i="1"/>
  <c r="CY60" i="1"/>
  <c r="X60" i="1" s="1"/>
  <c r="U95" i="1"/>
  <c r="CY135" i="1"/>
  <c r="X135" i="1" s="1"/>
  <c r="CZ135" i="1"/>
  <c r="Y135" i="1" s="1"/>
  <c r="V340" i="5" s="1"/>
  <c r="Q138" i="1"/>
  <c r="AD162" i="1" s="1"/>
  <c r="S140" i="1"/>
  <c r="AF162" i="1" s="1"/>
  <c r="GM154" i="1"/>
  <c r="GO154" i="1"/>
  <c r="R79" i="1"/>
  <c r="GK79" i="1" s="1"/>
  <c r="U90" i="1"/>
  <c r="P94" i="1"/>
  <c r="GX134" i="1"/>
  <c r="CJ162" i="1" s="1"/>
  <c r="CY136" i="1"/>
  <c r="X136" i="1" s="1"/>
  <c r="CZ136" i="1"/>
  <c r="Y136" i="1" s="1"/>
  <c r="V349" i="5" s="1"/>
  <c r="T138" i="1"/>
  <c r="AG162" i="1" s="1"/>
  <c r="W140" i="1"/>
  <c r="AJ162" i="1" s="1"/>
  <c r="CP149" i="1"/>
  <c r="O149" i="1" s="1"/>
  <c r="K410" i="5" s="1"/>
  <c r="AB151" i="1"/>
  <c r="CY80" i="1"/>
  <c r="X80" i="1" s="1"/>
  <c r="T240" i="5" s="1"/>
  <c r="GM196" i="1"/>
  <c r="GP196" i="1"/>
  <c r="W237" i="1"/>
  <c r="P237" i="1"/>
  <c r="CP237" i="1" s="1"/>
  <c r="O237" i="1" s="1"/>
  <c r="K518" i="5" s="1"/>
  <c r="GX236" i="1"/>
  <c r="CJ272" i="1" s="1"/>
  <c r="W95" i="1"/>
  <c r="CP144" i="1"/>
  <c r="O144" i="1" s="1"/>
  <c r="K389" i="5" s="1"/>
  <c r="AC199" i="1"/>
  <c r="CP195" i="1"/>
  <c r="O195" i="1" s="1"/>
  <c r="AQ193" i="1"/>
  <c r="F209" i="1"/>
  <c r="R237" i="1"/>
  <c r="GK237" i="1" s="1"/>
  <c r="V93" i="1"/>
  <c r="AI100" i="1" s="1"/>
  <c r="R140" i="1"/>
  <c r="GK140" i="1" s="1"/>
  <c r="V236" i="1"/>
  <c r="GN232" i="1"/>
  <c r="GM232" i="1"/>
  <c r="GN263" i="1"/>
  <c r="AB266" i="1"/>
  <c r="R267" i="1"/>
  <c r="GK267" i="1" s="1"/>
  <c r="P270" i="1"/>
  <c r="CP270" i="1" s="1"/>
  <c r="O270" i="1" s="1"/>
  <c r="K609" i="5" s="1"/>
  <c r="CJ303" i="1"/>
  <c r="BA313" i="1"/>
  <c r="GM310" i="1"/>
  <c r="GN310" i="1"/>
  <c r="AJ358" i="1"/>
  <c r="R353" i="1"/>
  <c r="GK353" i="1" s="1"/>
  <c r="AG358" i="1"/>
  <c r="GK305" i="1"/>
  <c r="CZ305" i="1"/>
  <c r="Y305" i="1" s="1"/>
  <c r="V613" i="5" s="1"/>
  <c r="K619" i="5" s="1"/>
  <c r="AE313" i="1"/>
  <c r="W78" i="1"/>
  <c r="BC131" i="1"/>
  <c r="F178" i="1"/>
  <c r="P246" i="1"/>
  <c r="CP246" i="1" s="1"/>
  <c r="O246" i="1" s="1"/>
  <c r="K551" i="5" s="1"/>
  <c r="R249" i="1"/>
  <c r="GK249" i="1" s="1"/>
  <c r="S250" i="1"/>
  <c r="CP265" i="1"/>
  <c r="O265" i="1" s="1"/>
  <c r="K604" i="5" s="1"/>
  <c r="CY266" i="1"/>
  <c r="X266" i="1" s="1"/>
  <c r="T605" i="5" s="1"/>
  <c r="CZ266" i="1"/>
  <c r="Y266" i="1" s="1"/>
  <c r="V605" i="5" s="1"/>
  <c r="CP351" i="1"/>
  <c r="O351" i="1" s="1"/>
  <c r="AK199" i="1"/>
  <c r="GO253" i="1"/>
  <c r="CC272" i="1" s="1"/>
  <c r="GM253" i="1"/>
  <c r="AP131" i="1"/>
  <c r="F171" i="1"/>
  <c r="CG131" i="1"/>
  <c r="AX162" i="1"/>
  <c r="CI193" i="1"/>
  <c r="AZ199" i="1"/>
  <c r="U246" i="1"/>
  <c r="T248" i="1"/>
  <c r="V250" i="1"/>
  <c r="T270" i="1"/>
  <c r="GM311" i="1"/>
  <c r="GN311" i="1"/>
  <c r="AB350" i="1"/>
  <c r="U353" i="1"/>
  <c r="AQ344" i="1"/>
  <c r="F368" i="1"/>
  <c r="W270" i="1"/>
  <c r="CZ60" i="1"/>
  <c r="Y60" i="1" s="1"/>
  <c r="V183" i="5" s="1"/>
  <c r="GN242" i="1"/>
  <c r="GM242" i="1"/>
  <c r="V270" i="1"/>
  <c r="V303" i="1"/>
  <c r="F336" i="1"/>
  <c r="U352" i="1"/>
  <c r="T250" i="1"/>
  <c r="W251" i="1"/>
  <c r="GM354" i="1"/>
  <c r="GN354" i="1"/>
  <c r="U248" i="1"/>
  <c r="K581" i="5" l="1"/>
  <c r="L611" i="5"/>
  <c r="CZ260" i="1"/>
  <c r="Y260" i="1" s="1"/>
  <c r="V581" i="5" s="1"/>
  <c r="CY260" i="1"/>
  <c r="X260" i="1" s="1"/>
  <c r="T581" i="5" s="1"/>
  <c r="CP259" i="1"/>
  <c r="O259" i="1" s="1"/>
  <c r="CZ259" i="1"/>
  <c r="Y259" i="1" s="1"/>
  <c r="V580" i="5" s="1"/>
  <c r="CY259" i="1"/>
  <c r="X259" i="1" s="1"/>
  <c r="T580" i="5" s="1"/>
  <c r="K574" i="5" s="1"/>
  <c r="CJ100" i="1"/>
  <c r="GN38" i="1"/>
  <c r="CP93" i="1"/>
  <c r="O93" i="1" s="1"/>
  <c r="K312" i="5" s="1"/>
  <c r="CP69" i="1"/>
  <c r="O69" i="1" s="1"/>
  <c r="K219" i="5" s="1"/>
  <c r="AH162" i="1"/>
  <c r="J302" i="5"/>
  <c r="P302" i="5" s="1"/>
  <c r="H235" i="5"/>
  <c r="H215" i="5"/>
  <c r="K156" i="5"/>
  <c r="J412" i="5"/>
  <c r="P412" i="5" s="1"/>
  <c r="K108" i="5"/>
  <c r="J58" i="5"/>
  <c r="P58" i="5" s="1"/>
  <c r="J380" i="5"/>
  <c r="P380" i="5" s="1"/>
  <c r="K155" i="5"/>
  <c r="J654" i="5"/>
  <c r="P654" i="5" s="1"/>
  <c r="G112" i="5"/>
  <c r="O112" i="5" s="1"/>
  <c r="H131" i="5"/>
  <c r="W136" i="5" s="1"/>
  <c r="L327" i="5"/>
  <c r="H214" i="5"/>
  <c r="H549" i="5"/>
  <c r="H548" i="5"/>
  <c r="W49" i="5"/>
  <c r="J487" i="5"/>
  <c r="G173" i="5"/>
  <c r="O173" i="5" s="1"/>
  <c r="H202" i="5"/>
  <c r="X454" i="5"/>
  <c r="H309" i="5"/>
  <c r="G316" i="5" s="1"/>
  <c r="O316" i="5" s="1"/>
  <c r="W271" i="5"/>
  <c r="K315" i="5"/>
  <c r="G350" i="5"/>
  <c r="O350" i="5" s="1"/>
  <c r="X339" i="5"/>
  <c r="G558" i="5"/>
  <c r="O558" i="5" s="1"/>
  <c r="X372" i="5"/>
  <c r="G372" i="5"/>
  <c r="O372" i="5" s="1"/>
  <c r="W173" i="5"/>
  <c r="K665" i="5"/>
  <c r="GN350" i="1"/>
  <c r="GM350" i="1"/>
  <c r="G361" i="5"/>
  <c r="O361" i="5" s="1"/>
  <c r="X361" i="5"/>
  <c r="K217" i="5"/>
  <c r="G136" i="5"/>
  <c r="O136" i="5" s="1"/>
  <c r="W124" i="5"/>
  <c r="G124" i="5"/>
  <c r="O124" i="5" s="1"/>
  <c r="AH131" i="1"/>
  <c r="U162" i="1"/>
  <c r="W292" i="5"/>
  <c r="G292" i="5"/>
  <c r="O292" i="5" s="1"/>
  <c r="G239" i="5"/>
  <c r="O239" i="5" s="1"/>
  <c r="W227" i="5"/>
  <c r="T340" i="5"/>
  <c r="GN60" i="1"/>
  <c r="T183" i="5"/>
  <c r="K180" i="5" s="1"/>
  <c r="GM39" i="1"/>
  <c r="T91" i="5"/>
  <c r="K97" i="5" s="1"/>
  <c r="CP33" i="1"/>
  <c r="O33" i="1" s="1"/>
  <c r="K71" i="5"/>
  <c r="J79" i="5" s="1"/>
  <c r="P79" i="5" s="1"/>
  <c r="CP64" i="1"/>
  <c r="O64" i="1" s="1"/>
  <c r="K205" i="5" s="1"/>
  <c r="CY237" i="1"/>
  <c r="X237" i="1" s="1"/>
  <c r="T518" i="5" s="1"/>
  <c r="GN247" i="1"/>
  <c r="T552" i="5"/>
  <c r="GO146" i="1"/>
  <c r="V392" i="5"/>
  <c r="K399" i="5" s="1"/>
  <c r="CP140" i="1"/>
  <c r="O140" i="1" s="1"/>
  <c r="K371" i="5" s="1"/>
  <c r="V329" i="5"/>
  <c r="K336" i="5" s="1"/>
  <c r="GM81" i="1"/>
  <c r="T249" i="5"/>
  <c r="CZ236" i="1"/>
  <c r="Y236" i="1" s="1"/>
  <c r="V517" i="5" s="1"/>
  <c r="GM41" i="1"/>
  <c r="T110" i="5"/>
  <c r="K107" i="5" s="1"/>
  <c r="J112" i="5" s="1"/>
  <c r="P112" i="5" s="1"/>
  <c r="V624" i="5"/>
  <c r="K629" i="5" s="1"/>
  <c r="GN235" i="1"/>
  <c r="GM235" i="1"/>
  <c r="T442" i="5"/>
  <c r="K439" i="5" s="1"/>
  <c r="GM156" i="1"/>
  <c r="GO156" i="1"/>
  <c r="G443" i="5"/>
  <c r="O443" i="5" s="1"/>
  <c r="X443" i="5"/>
  <c r="K365" i="5"/>
  <c r="CP139" i="1"/>
  <c r="O139" i="1" s="1"/>
  <c r="CP135" i="1"/>
  <c r="O135" i="1" s="1"/>
  <c r="GM135" i="1" s="1"/>
  <c r="K343" i="5"/>
  <c r="K501" i="5"/>
  <c r="J506" i="5" s="1"/>
  <c r="P506" i="5" s="1"/>
  <c r="CP233" i="1"/>
  <c r="O233" i="1" s="1"/>
  <c r="G17" i="5"/>
  <c r="W316" i="5"/>
  <c r="K116" i="5"/>
  <c r="CP43" i="1"/>
  <c r="O43" i="1" s="1"/>
  <c r="X350" i="5"/>
  <c r="GM89" i="1"/>
  <c r="GN89" i="1"/>
  <c r="W239" i="5"/>
  <c r="G207" i="5"/>
  <c r="O207" i="5" s="1"/>
  <c r="K144" i="5"/>
  <c r="K62" i="5"/>
  <c r="J67" i="5" s="1"/>
  <c r="P67" i="5" s="1"/>
  <c r="CP32" i="1"/>
  <c r="O32" i="1" s="1"/>
  <c r="AK313" i="1"/>
  <c r="T613" i="5"/>
  <c r="K618" i="5" s="1"/>
  <c r="CP308" i="1"/>
  <c r="O308" i="1" s="1"/>
  <c r="GN308" i="1" s="1"/>
  <c r="K626" i="5"/>
  <c r="CP133" i="1"/>
  <c r="O133" i="1" s="1"/>
  <c r="GO133" i="1" s="1"/>
  <c r="GN36" i="1"/>
  <c r="J497" i="5"/>
  <c r="P497" i="5" s="1"/>
  <c r="X412" i="5"/>
  <c r="G454" i="5"/>
  <c r="O454" i="5" s="1"/>
  <c r="CP74" i="1"/>
  <c r="O74" i="1" s="1"/>
  <c r="T260" i="5"/>
  <c r="K257" i="5" s="1"/>
  <c r="GN84" i="1"/>
  <c r="GM84" i="1"/>
  <c r="W112" i="5"/>
  <c r="L685" i="5"/>
  <c r="G339" i="5"/>
  <c r="O339" i="5" s="1"/>
  <c r="K189" i="5"/>
  <c r="J195" i="5" s="1"/>
  <c r="P195" i="5" s="1"/>
  <c r="CP62" i="1"/>
  <c r="O62" i="1" s="1"/>
  <c r="J160" i="5"/>
  <c r="P160" i="5" s="1"/>
  <c r="CP348" i="1"/>
  <c r="O348" i="1" s="1"/>
  <c r="J543" i="5"/>
  <c r="P543" i="5" s="1"/>
  <c r="G623" i="5"/>
  <c r="O623" i="5" s="1"/>
  <c r="W623" i="5"/>
  <c r="K628" i="5"/>
  <c r="J531" i="5"/>
  <c r="P531" i="5" s="1"/>
  <c r="K440" i="5"/>
  <c r="AI162" i="1"/>
  <c r="X423" i="5"/>
  <c r="G423" i="5"/>
  <c r="O423" i="5" s="1"/>
  <c r="K258" i="5"/>
  <c r="CP86" i="1"/>
  <c r="O86" i="1" s="1"/>
  <c r="CP92" i="1"/>
  <c r="O92" i="1" s="1"/>
  <c r="CP52" i="1"/>
  <c r="O52" i="1" s="1"/>
  <c r="AH358" i="1"/>
  <c r="AG272" i="1"/>
  <c r="K246" i="5"/>
  <c r="GM136" i="1"/>
  <c r="T349" i="5"/>
  <c r="K347" i="5"/>
  <c r="GN39" i="1"/>
  <c r="V91" i="5"/>
  <c r="K98" i="5" s="1"/>
  <c r="GM51" i="1"/>
  <c r="T147" i="5"/>
  <c r="K143" i="5" s="1"/>
  <c r="J148" i="5" s="1"/>
  <c r="P148" i="5" s="1"/>
  <c r="AJ100" i="1"/>
  <c r="GN87" i="1"/>
  <c r="T270" i="5"/>
  <c r="K267" i="5" s="1"/>
  <c r="J271" i="5" s="1"/>
  <c r="P271" i="5" s="1"/>
  <c r="AD272" i="1"/>
  <c r="GM146" i="1"/>
  <c r="T392" i="5"/>
  <c r="CY236" i="1"/>
  <c r="X236" i="1" s="1"/>
  <c r="T517" i="5" s="1"/>
  <c r="K513" i="5" s="1"/>
  <c r="CP46" i="1"/>
  <c r="O46" i="1" s="1"/>
  <c r="K128" i="5"/>
  <c r="GN349" i="1"/>
  <c r="T664" i="5"/>
  <c r="K661" i="5" s="1"/>
  <c r="J666" i="5" s="1"/>
  <c r="P666" i="5" s="1"/>
  <c r="GM263" i="1"/>
  <c r="V593" i="5"/>
  <c r="K590" i="5" s="1"/>
  <c r="J594" i="5" s="1"/>
  <c r="P594" i="5" s="1"/>
  <c r="GN258" i="1"/>
  <c r="V579" i="5"/>
  <c r="K575" i="5" s="1"/>
  <c r="GM153" i="1"/>
  <c r="T424" i="5"/>
  <c r="K430" i="5" s="1"/>
  <c r="J434" i="5" s="1"/>
  <c r="P434" i="5" s="1"/>
  <c r="AH100" i="1"/>
  <c r="AE358" i="1"/>
  <c r="CY56" i="1"/>
  <c r="X56" i="1" s="1"/>
  <c r="T170" i="5" s="1"/>
  <c r="W679" i="5"/>
  <c r="G391" i="5"/>
  <c r="O391" i="5" s="1"/>
  <c r="G466" i="5" s="1"/>
  <c r="G679" i="5"/>
  <c r="O679" i="5" s="1"/>
  <c r="W582" i="5"/>
  <c r="G582" i="5"/>
  <c r="O582" i="5" s="1"/>
  <c r="G567" i="5"/>
  <c r="O567" i="5" s="1"/>
  <c r="G543" i="5"/>
  <c r="O543" i="5" s="1"/>
  <c r="W543" i="5"/>
  <c r="G487" i="5"/>
  <c r="W251" i="5"/>
  <c r="CY69" i="1"/>
  <c r="X69" i="1" s="1"/>
  <c r="CZ69" i="1"/>
  <c r="Y69" i="1" s="1"/>
  <c r="V219" i="5" s="1"/>
  <c r="K181" i="5"/>
  <c r="K44" i="5"/>
  <c r="J49" i="5" s="1"/>
  <c r="P49" i="5" s="1"/>
  <c r="CP30" i="1"/>
  <c r="O30" i="1" s="1"/>
  <c r="K177" i="5"/>
  <c r="CP59" i="1"/>
  <c r="O59" i="1" s="1"/>
  <c r="G19" i="5"/>
  <c r="W634" i="5"/>
  <c r="G634" i="5"/>
  <c r="O634" i="5" s="1"/>
  <c r="G635" i="5" s="1"/>
  <c r="K247" i="5"/>
  <c r="J281" i="5"/>
  <c r="P281" i="5" s="1"/>
  <c r="G262" i="5"/>
  <c r="O262" i="5" s="1"/>
  <c r="CP40" i="1"/>
  <c r="O40" i="1" s="1"/>
  <c r="G610" i="5"/>
  <c r="O610" i="5" s="1"/>
  <c r="W610" i="5"/>
  <c r="G521" i="5"/>
  <c r="O521" i="5" s="1"/>
  <c r="W521" i="5"/>
  <c r="K447" i="5"/>
  <c r="J454" i="5" s="1"/>
  <c r="P454" i="5" s="1"/>
  <c r="CP157" i="1"/>
  <c r="O157" i="1" s="1"/>
  <c r="T401" i="5"/>
  <c r="GO147" i="1"/>
  <c r="GM147" i="1"/>
  <c r="K390" i="5"/>
  <c r="J391" i="5" s="1"/>
  <c r="P391" i="5" s="1"/>
  <c r="GM145" i="1"/>
  <c r="GO145" i="1"/>
  <c r="GK96" i="1"/>
  <c r="CZ96" i="1"/>
  <c r="Y96" i="1" s="1"/>
  <c r="V315" i="5" s="1"/>
  <c r="CY96" i="1"/>
  <c r="X96" i="1" s="1"/>
  <c r="T315" i="5" s="1"/>
  <c r="CY67" i="1"/>
  <c r="X67" i="1" s="1"/>
  <c r="T217" i="5" s="1"/>
  <c r="CZ67" i="1"/>
  <c r="Y67" i="1" s="1"/>
  <c r="V217" i="5" s="1"/>
  <c r="G666" i="5"/>
  <c r="O666" i="5" s="1"/>
  <c r="G684" i="5" s="1"/>
  <c r="CP77" i="1"/>
  <c r="O77" i="1" s="1"/>
  <c r="CY74" i="1"/>
  <c r="X74" i="1" s="1"/>
  <c r="T224" i="5" s="1"/>
  <c r="CZ74" i="1"/>
  <c r="Y74" i="1" s="1"/>
  <c r="V224" i="5" s="1"/>
  <c r="W207" i="5"/>
  <c r="G79" i="5"/>
  <c r="O79" i="5" s="1"/>
  <c r="W281" i="5"/>
  <c r="W160" i="5"/>
  <c r="G160" i="5"/>
  <c r="O160" i="5" s="1"/>
  <c r="K615" i="5"/>
  <c r="J623" i="5" s="1"/>
  <c r="P623" i="5" s="1"/>
  <c r="CP305" i="1"/>
  <c r="O305" i="1" s="1"/>
  <c r="J423" i="5"/>
  <c r="P423" i="5" s="1"/>
  <c r="AG230" i="1"/>
  <c r="T272" i="1"/>
  <c r="AI344" i="1"/>
  <c r="V358" i="1"/>
  <c r="AI26" i="1"/>
  <c r="V100" i="1"/>
  <c r="AJ131" i="1"/>
  <c r="W162" i="1"/>
  <c r="AD131" i="1"/>
  <c r="Q162" i="1"/>
  <c r="GN352" i="1"/>
  <c r="GM352" i="1"/>
  <c r="AH26" i="1"/>
  <c r="U100" i="1"/>
  <c r="AH344" i="1"/>
  <c r="U358" i="1"/>
  <c r="AG26" i="1"/>
  <c r="T100" i="1"/>
  <c r="AJ26" i="1"/>
  <c r="W100" i="1"/>
  <c r="AF344" i="1"/>
  <c r="S358" i="1"/>
  <c r="AD230" i="1"/>
  <c r="Q272" i="1"/>
  <c r="AZ193" i="1"/>
  <c r="F210" i="1"/>
  <c r="CJ131" i="1"/>
  <c r="BA162" i="1"/>
  <c r="GN85" i="1"/>
  <c r="GM85" i="1"/>
  <c r="GN266" i="1"/>
  <c r="GM266" i="1"/>
  <c r="F323" i="1"/>
  <c r="AQ303" i="1"/>
  <c r="F219" i="1"/>
  <c r="BA193" i="1"/>
  <c r="AD303" i="1"/>
  <c r="Q313" i="1"/>
  <c r="GM142" i="1"/>
  <c r="GO142" i="1"/>
  <c r="AI272" i="1"/>
  <c r="T162" i="1"/>
  <c r="AG131" i="1"/>
  <c r="GN33" i="1"/>
  <c r="GM33" i="1"/>
  <c r="CZ48" i="1"/>
  <c r="Y48" i="1" s="1"/>
  <c r="V135" i="5" s="1"/>
  <c r="CY48" i="1"/>
  <c r="X48" i="1" s="1"/>
  <c r="T135" i="5" s="1"/>
  <c r="AE272" i="1"/>
  <c r="CY246" i="1"/>
  <c r="X246" i="1" s="1"/>
  <c r="CZ246" i="1"/>
  <c r="Y246" i="1" s="1"/>
  <c r="AX131" i="1"/>
  <c r="F169" i="1"/>
  <c r="X199" i="1"/>
  <c r="AK193" i="1"/>
  <c r="AL313" i="1"/>
  <c r="GM351" i="1"/>
  <c r="GN351" i="1"/>
  <c r="CZ250" i="1"/>
  <c r="Y250" i="1" s="1"/>
  <c r="V555" i="5" s="1"/>
  <c r="CY250" i="1"/>
  <c r="X250" i="1" s="1"/>
  <c r="T555" i="5" s="1"/>
  <c r="BA303" i="1"/>
  <c r="F333" i="1"/>
  <c r="GO149" i="1"/>
  <c r="GM149" i="1"/>
  <c r="CY140" i="1"/>
  <c r="X140" i="1" s="1"/>
  <c r="CZ140" i="1"/>
  <c r="Y140" i="1" s="1"/>
  <c r="V371" i="5" s="1"/>
  <c r="K369" i="5" s="1"/>
  <c r="CZ47" i="1"/>
  <c r="Y47" i="1" s="1"/>
  <c r="V134" i="5" s="1"/>
  <c r="K132" i="5" s="1"/>
  <c r="CY47" i="1"/>
  <c r="X47" i="1" s="1"/>
  <c r="T134" i="5" s="1"/>
  <c r="K131" i="5" s="1"/>
  <c r="GN83" i="1"/>
  <c r="GM83" i="1"/>
  <c r="GN88" i="1"/>
  <c r="GM88" i="1"/>
  <c r="CZ64" i="1"/>
  <c r="Y64" i="1" s="1"/>
  <c r="CY64" i="1"/>
  <c r="X64" i="1" s="1"/>
  <c r="T205" i="5" s="1"/>
  <c r="GM53" i="1"/>
  <c r="GN53" i="1"/>
  <c r="CY44" i="1"/>
  <c r="X44" i="1" s="1"/>
  <c r="CZ44" i="1"/>
  <c r="Y44" i="1" s="1"/>
  <c r="CP47" i="1"/>
  <c r="O47" i="1" s="1"/>
  <c r="K134" i="5" s="1"/>
  <c r="AX230" i="1"/>
  <c r="F279" i="1"/>
  <c r="AF272" i="1"/>
  <c r="CP250" i="1"/>
  <c r="O250" i="1" s="1"/>
  <c r="K555" i="5" s="1"/>
  <c r="AX344" i="1"/>
  <c r="F365" i="1"/>
  <c r="AC344" i="1"/>
  <c r="P358" i="1"/>
  <c r="CF358" i="1"/>
  <c r="CH358" i="1"/>
  <c r="CE358" i="1"/>
  <c r="F332" i="1"/>
  <c r="AU303" i="1"/>
  <c r="AZ313" i="1"/>
  <c r="CI303" i="1"/>
  <c r="S193" i="1"/>
  <c r="F214" i="1"/>
  <c r="W193" i="1"/>
  <c r="F223" i="1"/>
  <c r="GO136" i="1"/>
  <c r="GO153" i="1"/>
  <c r="GN51" i="1"/>
  <c r="AD100" i="1"/>
  <c r="CP353" i="1"/>
  <c r="O353" i="1" s="1"/>
  <c r="K677" i="5" s="1"/>
  <c r="CP249" i="1"/>
  <c r="O249" i="1" s="1"/>
  <c r="K554" i="5" s="1"/>
  <c r="AX193" i="1"/>
  <c r="F206" i="1"/>
  <c r="CY270" i="1"/>
  <c r="X270" i="1" s="1"/>
  <c r="T609" i="5" s="1"/>
  <c r="CZ270" i="1"/>
  <c r="Y270" i="1" s="1"/>
  <c r="V609" i="5" s="1"/>
  <c r="CZ267" i="1"/>
  <c r="Y267" i="1" s="1"/>
  <c r="V606" i="5" s="1"/>
  <c r="CY267" i="1"/>
  <c r="X267" i="1" s="1"/>
  <c r="GM252" i="1"/>
  <c r="GN252" i="1"/>
  <c r="BB22" i="1"/>
  <c r="F400" i="1"/>
  <c r="BB419" i="1"/>
  <c r="GN91" i="1"/>
  <c r="GM91" i="1"/>
  <c r="GN82" i="1"/>
  <c r="GM82" i="1"/>
  <c r="AO22" i="1"/>
  <c r="AO419" i="1"/>
  <c r="F391" i="1"/>
  <c r="GN80" i="1"/>
  <c r="GM80" i="1"/>
  <c r="GN42" i="1"/>
  <c r="GM42" i="1"/>
  <c r="CP56" i="1"/>
  <c r="O56" i="1" s="1"/>
  <c r="K170" i="5" s="1"/>
  <c r="GN54" i="1"/>
  <c r="GM54" i="1"/>
  <c r="AP230" i="1"/>
  <c r="F281" i="1"/>
  <c r="GN76" i="1"/>
  <c r="GM76" i="1"/>
  <c r="GM87" i="1"/>
  <c r="GN81" i="1"/>
  <c r="CZ56" i="1"/>
  <c r="Y56" i="1" s="1"/>
  <c r="V170" i="5" s="1"/>
  <c r="GM258" i="1"/>
  <c r="CJ230" i="1"/>
  <c r="BA272" i="1"/>
  <c r="GM141" i="1"/>
  <c r="GO141" i="1"/>
  <c r="CZ79" i="1"/>
  <c r="Y79" i="1" s="1"/>
  <c r="V238" i="5" s="1"/>
  <c r="K235" i="5" s="1"/>
  <c r="CY79" i="1"/>
  <c r="X79" i="1" s="1"/>
  <c r="T238" i="5" s="1"/>
  <c r="K234" i="5" s="1"/>
  <c r="CZ58" i="1"/>
  <c r="Y58" i="1" s="1"/>
  <c r="V172" i="5" s="1"/>
  <c r="CY58" i="1"/>
  <c r="X58" i="1" s="1"/>
  <c r="T172" i="5" s="1"/>
  <c r="AE100" i="1"/>
  <c r="GO151" i="1"/>
  <c r="GM151" i="1"/>
  <c r="GM247" i="1"/>
  <c r="AT26" i="1"/>
  <c r="F118" i="1"/>
  <c r="CP79" i="1"/>
  <c r="O79" i="1" s="1"/>
  <c r="K238" i="5" s="1"/>
  <c r="GM349" i="1"/>
  <c r="GN41" i="1"/>
  <c r="R313" i="1"/>
  <c r="AE303" i="1"/>
  <c r="CE199" i="1"/>
  <c r="P199" i="1"/>
  <c r="CH199" i="1"/>
  <c r="AC193" i="1"/>
  <c r="CF199" i="1"/>
  <c r="CZ237" i="1"/>
  <c r="Y237" i="1" s="1"/>
  <c r="GN237" i="1" s="1"/>
  <c r="AC272" i="1"/>
  <c r="BC22" i="1"/>
  <c r="F403" i="1"/>
  <c r="BC419" i="1"/>
  <c r="AF131" i="1"/>
  <c r="S162" i="1"/>
  <c r="T303" i="1"/>
  <c r="F334" i="1"/>
  <c r="CP138" i="1"/>
  <c r="O138" i="1" s="1"/>
  <c r="K360" i="5" s="1"/>
  <c r="J361" i="5" s="1"/>
  <c r="P361" i="5" s="1"/>
  <c r="GM60" i="1"/>
  <c r="GN46" i="1"/>
  <c r="GM46" i="1"/>
  <c r="F328" i="1"/>
  <c r="S303" i="1"/>
  <c r="U303" i="1"/>
  <c r="F335" i="1"/>
  <c r="GN236" i="1"/>
  <c r="GM236" i="1"/>
  <c r="GM98" i="1"/>
  <c r="GN98" i="1"/>
  <c r="AF100" i="1"/>
  <c r="GM257" i="1"/>
  <c r="GN257" i="1"/>
  <c r="CP58" i="1"/>
  <c r="O58" i="1" s="1"/>
  <c r="K172" i="5" s="1"/>
  <c r="GM308" i="1"/>
  <c r="GM38" i="1"/>
  <c r="F184" i="1"/>
  <c r="U131" i="1"/>
  <c r="W358" i="1"/>
  <c r="AJ344" i="1"/>
  <c r="GM195" i="1"/>
  <c r="CA199" i="1" s="1"/>
  <c r="GP195" i="1"/>
  <c r="CD199" i="1" s="1"/>
  <c r="AB199" i="1"/>
  <c r="CJ26" i="1"/>
  <c r="BA100" i="1"/>
  <c r="AD358" i="1"/>
  <c r="CP346" i="1"/>
  <c r="O346" i="1" s="1"/>
  <c r="AS131" i="1"/>
  <c r="F179" i="1"/>
  <c r="CZ94" i="1"/>
  <c r="Y94" i="1" s="1"/>
  <c r="V313" i="5" s="1"/>
  <c r="CY94" i="1"/>
  <c r="X94" i="1" s="1"/>
  <c r="T313" i="5" s="1"/>
  <c r="CZ251" i="1"/>
  <c r="Y251" i="1" s="1"/>
  <c r="V556" i="5" s="1"/>
  <c r="CY251" i="1"/>
  <c r="X251" i="1" s="1"/>
  <c r="T556" i="5" s="1"/>
  <c r="F337" i="1"/>
  <c r="W303" i="1"/>
  <c r="AZ131" i="1"/>
  <c r="F173" i="1"/>
  <c r="AQ387" i="1"/>
  <c r="AE344" i="1"/>
  <c r="R358" i="1"/>
  <c r="CJ344" i="1"/>
  <c r="BA358" i="1"/>
  <c r="CC230" i="1"/>
  <c r="AT272" i="1"/>
  <c r="GN270" i="1"/>
  <c r="GM270" i="1"/>
  <c r="GM237" i="1"/>
  <c r="AC100" i="1"/>
  <c r="F369" i="1"/>
  <c r="AZ344" i="1"/>
  <c r="CY249" i="1"/>
  <c r="X249" i="1" s="1"/>
  <c r="T554" i="5" s="1"/>
  <c r="CZ249" i="1"/>
  <c r="Y249" i="1" s="1"/>
  <c r="V554" i="5" s="1"/>
  <c r="AJ272" i="1"/>
  <c r="GM265" i="1"/>
  <c r="GN265" i="1"/>
  <c r="AG344" i="1"/>
  <c r="T358" i="1"/>
  <c r="GO144" i="1"/>
  <c r="GM144" i="1"/>
  <c r="CP94" i="1"/>
  <c r="O94" i="1" s="1"/>
  <c r="K313" i="5" s="1"/>
  <c r="GM95" i="1"/>
  <c r="GN95" i="1"/>
  <c r="CY90" i="1"/>
  <c r="X90" i="1" s="1"/>
  <c r="CZ90" i="1"/>
  <c r="Y90" i="1" s="1"/>
  <c r="GN78" i="1"/>
  <c r="GM78" i="1"/>
  <c r="CZ65" i="1"/>
  <c r="Y65" i="1" s="1"/>
  <c r="V206" i="5" s="1"/>
  <c r="CY65" i="1"/>
  <c r="X65" i="1" s="1"/>
  <c r="CZ57" i="1"/>
  <c r="Y57" i="1" s="1"/>
  <c r="V171" i="5" s="1"/>
  <c r="CY57" i="1"/>
  <c r="X57" i="1" s="1"/>
  <c r="CZ353" i="1"/>
  <c r="Y353" i="1" s="1"/>
  <c r="CY353" i="1"/>
  <c r="X353" i="1" s="1"/>
  <c r="AX26" i="1"/>
  <c r="F107" i="1"/>
  <c r="GM55" i="1"/>
  <c r="GN55" i="1"/>
  <c r="GM28" i="1"/>
  <c r="GN28" i="1"/>
  <c r="AB100" i="1"/>
  <c r="CP251" i="1"/>
  <c r="O251" i="1" s="1"/>
  <c r="K556" i="5" s="1"/>
  <c r="CP248" i="1"/>
  <c r="O248" i="1" s="1"/>
  <c r="K553" i="5" s="1"/>
  <c r="CG303" i="1"/>
  <c r="AX313" i="1"/>
  <c r="AH272" i="1"/>
  <c r="AL162" i="1"/>
  <c r="CP45" i="1"/>
  <c r="O45" i="1" s="1"/>
  <c r="K123" i="5" s="1"/>
  <c r="AZ26" i="1"/>
  <c r="F111" i="1"/>
  <c r="F213" i="1"/>
  <c r="R193" i="1"/>
  <c r="P162" i="1"/>
  <c r="CF162" i="1"/>
  <c r="CE162" i="1"/>
  <c r="CH162" i="1"/>
  <c r="AC131" i="1"/>
  <c r="CP48" i="1"/>
  <c r="O48" i="1" s="1"/>
  <c r="K135" i="5" s="1"/>
  <c r="AP22" i="1"/>
  <c r="AP419" i="1"/>
  <c r="F396" i="1"/>
  <c r="GM347" i="1"/>
  <c r="GN347" i="1"/>
  <c r="AL193" i="1"/>
  <c r="Y199" i="1"/>
  <c r="AU230" i="1"/>
  <c r="F291" i="1"/>
  <c r="F282" i="1"/>
  <c r="AQ230" i="1"/>
  <c r="AC303" i="1"/>
  <c r="CE313" i="1"/>
  <c r="P313" i="1"/>
  <c r="CF313" i="1"/>
  <c r="CH313" i="1"/>
  <c r="GK134" i="1"/>
  <c r="AE162" i="1"/>
  <c r="CY93" i="1"/>
  <c r="X93" i="1" s="1"/>
  <c r="CZ93" i="1"/>
  <c r="Y93" i="1" s="1"/>
  <c r="V312" i="5" s="1"/>
  <c r="GM31" i="1"/>
  <c r="GN31" i="1"/>
  <c r="CI230" i="1"/>
  <c r="AZ272" i="1"/>
  <c r="GM305" i="1"/>
  <c r="CA313" i="1" s="1"/>
  <c r="T193" i="1"/>
  <c r="F220" i="1"/>
  <c r="GM133" i="1"/>
  <c r="CY134" i="1"/>
  <c r="X134" i="1" s="1"/>
  <c r="GO134" i="1" s="1"/>
  <c r="K602" i="5" l="1"/>
  <c r="W558" i="5"/>
  <c r="G227" i="5"/>
  <c r="O227" i="5" s="1"/>
  <c r="K580" i="5"/>
  <c r="J582" i="5" s="1"/>
  <c r="P582" i="5" s="1"/>
  <c r="GM259" i="1"/>
  <c r="GN259" i="1"/>
  <c r="GN260" i="1"/>
  <c r="J239" i="5"/>
  <c r="P239" i="5" s="1"/>
  <c r="GM260" i="1"/>
  <c r="J185" i="5"/>
  <c r="P185" i="5" s="1"/>
  <c r="K310" i="5"/>
  <c r="K168" i="5"/>
  <c r="K215" i="5"/>
  <c r="J251" i="5"/>
  <c r="P251" i="5" s="1"/>
  <c r="G327" i="5"/>
  <c r="J100" i="5"/>
  <c r="P100" i="5" s="1"/>
  <c r="G611" i="5"/>
  <c r="GM93" i="1"/>
  <c r="T312" i="5"/>
  <c r="K309" i="5" s="1"/>
  <c r="J316" i="5" s="1"/>
  <c r="P316" i="5" s="1"/>
  <c r="G16" i="2"/>
  <c r="G18" i="2" s="1"/>
  <c r="I16" i="5"/>
  <c r="AK358" i="1"/>
  <c r="T677" i="5"/>
  <c r="K673" i="5" s="1"/>
  <c r="GM57" i="1"/>
  <c r="T171" i="5"/>
  <c r="K167" i="5" s="1"/>
  <c r="GN65" i="1"/>
  <c r="T206" i="5"/>
  <c r="K202" i="5" s="1"/>
  <c r="GN90" i="1"/>
  <c r="V291" i="5"/>
  <c r="K289" i="5" s="1"/>
  <c r="AL100" i="1"/>
  <c r="V122" i="5"/>
  <c r="K120" i="5" s="1"/>
  <c r="GM246" i="1"/>
  <c r="T551" i="5"/>
  <c r="K548" i="5" s="1"/>
  <c r="AB272" i="1"/>
  <c r="GN77" i="1"/>
  <c r="GM77" i="1"/>
  <c r="GM157" i="1"/>
  <c r="GO157" i="1"/>
  <c r="GN40" i="1"/>
  <c r="GM40" i="1"/>
  <c r="GM59" i="1"/>
  <c r="GN59" i="1"/>
  <c r="J136" i="5"/>
  <c r="P136" i="5" s="1"/>
  <c r="GM52" i="1"/>
  <c r="GN52" i="1"/>
  <c r="GM86" i="1"/>
  <c r="GN86" i="1"/>
  <c r="GM348" i="1"/>
  <c r="GN348" i="1"/>
  <c r="GN62" i="1"/>
  <c r="GM62" i="1"/>
  <c r="G14" i="5"/>
  <c r="K224" i="5"/>
  <c r="GM74" i="1"/>
  <c r="GN74" i="1"/>
  <c r="J634" i="5"/>
  <c r="P634" i="5" s="1"/>
  <c r="J635" i="5" s="1"/>
  <c r="GM32" i="1"/>
  <c r="GN32" i="1"/>
  <c r="GO135" i="1"/>
  <c r="GN67" i="1"/>
  <c r="G685" i="5"/>
  <c r="GM96" i="1"/>
  <c r="AK162" i="1"/>
  <c r="AK131" i="1" s="1"/>
  <c r="T338" i="5"/>
  <c r="K335" i="5" s="1"/>
  <c r="J339" i="5" s="1"/>
  <c r="P339" i="5" s="1"/>
  <c r="AL358" i="1"/>
  <c r="AL344" i="1" s="1"/>
  <c r="V677" i="5"/>
  <c r="K674" i="5" s="1"/>
  <c r="GM90" i="1"/>
  <c r="T291" i="5"/>
  <c r="K288" i="5" s="1"/>
  <c r="AL272" i="1"/>
  <c r="AL230" i="1" s="1"/>
  <c r="V518" i="5"/>
  <c r="K514" i="5" s="1"/>
  <c r="J521" i="5" s="1"/>
  <c r="P521" i="5" s="1"/>
  <c r="GN267" i="1"/>
  <c r="T606" i="5"/>
  <c r="K601" i="5" s="1"/>
  <c r="J610" i="5" s="1"/>
  <c r="P610" i="5" s="1"/>
  <c r="AK100" i="1"/>
  <c r="AK26" i="1" s="1"/>
  <c r="T122" i="5"/>
  <c r="K119" i="5" s="1"/>
  <c r="GM64" i="1"/>
  <c r="V205" i="5"/>
  <c r="K203" i="5" s="1"/>
  <c r="GO140" i="1"/>
  <c r="T371" i="5"/>
  <c r="K368" i="5" s="1"/>
  <c r="J372" i="5" s="1"/>
  <c r="P372" i="5" s="1"/>
  <c r="GN246" i="1"/>
  <c r="V551" i="5"/>
  <c r="K549" i="5" s="1"/>
  <c r="GN57" i="1"/>
  <c r="AB313" i="1"/>
  <c r="GN305" i="1"/>
  <c r="CB313" i="1" s="1"/>
  <c r="AS313" i="1" s="1"/>
  <c r="GM30" i="1"/>
  <c r="GN30" i="1"/>
  <c r="T219" i="5"/>
  <c r="K214" i="5" s="1"/>
  <c r="J227" i="5" s="1"/>
  <c r="P227" i="5" s="1"/>
  <c r="GN69" i="1"/>
  <c r="GM69" i="1"/>
  <c r="K398" i="5"/>
  <c r="J402" i="5" s="1"/>
  <c r="P402" i="5" s="1"/>
  <c r="GN92" i="1"/>
  <c r="GM92" i="1"/>
  <c r="J262" i="5"/>
  <c r="P262" i="5" s="1"/>
  <c r="AI131" i="1"/>
  <c r="V162" i="1"/>
  <c r="X313" i="1"/>
  <c r="AK303" i="1"/>
  <c r="GM43" i="1"/>
  <c r="GN43" i="1"/>
  <c r="GN233" i="1"/>
  <c r="GM233" i="1"/>
  <c r="GO139" i="1"/>
  <c r="GM139" i="1"/>
  <c r="J443" i="5"/>
  <c r="P443" i="5" s="1"/>
  <c r="K346" i="5"/>
  <c r="J350" i="5" s="1"/>
  <c r="P350" i="5" s="1"/>
  <c r="GM67" i="1"/>
  <c r="G13" i="5"/>
  <c r="G15" i="5"/>
  <c r="GN96" i="1"/>
  <c r="X162" i="1"/>
  <c r="Y272" i="1"/>
  <c r="AL26" i="1"/>
  <c r="Y100" i="1"/>
  <c r="X100" i="1"/>
  <c r="AK344" i="1"/>
  <c r="X358" i="1"/>
  <c r="Y358" i="1"/>
  <c r="AE131" i="1"/>
  <c r="R162" i="1"/>
  <c r="AP18" i="1"/>
  <c r="F428" i="1"/>
  <c r="CH131" i="1"/>
  <c r="AY162" i="1"/>
  <c r="AX303" i="1"/>
  <c r="F320" i="1"/>
  <c r="T344" i="1"/>
  <c r="F379" i="1"/>
  <c r="CF193" i="1"/>
  <c r="AW199" i="1"/>
  <c r="CE193" i="1"/>
  <c r="AV199" i="1"/>
  <c r="GM44" i="1"/>
  <c r="T131" i="1"/>
  <c r="F183" i="1"/>
  <c r="O272" i="1"/>
  <c r="AB230" i="1"/>
  <c r="W131" i="1"/>
  <c r="F186" i="1"/>
  <c r="AL131" i="1"/>
  <c r="Y162" i="1"/>
  <c r="GM248" i="1"/>
  <c r="GN248" i="1"/>
  <c r="AR313" i="1"/>
  <c r="CA303" i="1"/>
  <c r="CF303" i="1"/>
  <c r="AW313" i="1"/>
  <c r="F225" i="1"/>
  <c r="Y193" i="1"/>
  <c r="P131" i="1"/>
  <c r="F165" i="1"/>
  <c r="AH230" i="1"/>
  <c r="U272" i="1"/>
  <c r="U387" i="1" s="1"/>
  <c r="GM251" i="1"/>
  <c r="GN251" i="1"/>
  <c r="GN64" i="1"/>
  <c r="BA26" i="1"/>
  <c r="F120" i="1"/>
  <c r="BA387" i="1"/>
  <c r="CA193" i="1"/>
  <c r="AR199" i="1"/>
  <c r="BC18" i="1"/>
  <c r="F435" i="1"/>
  <c r="P193" i="1"/>
  <c r="F202" i="1"/>
  <c r="GM79" i="1"/>
  <c r="GN79" i="1"/>
  <c r="GN56" i="1"/>
  <c r="GM56" i="1"/>
  <c r="BB18" i="1"/>
  <c r="F432" i="1"/>
  <c r="GN353" i="1"/>
  <c r="GM353" i="1"/>
  <c r="GM134" i="1"/>
  <c r="CE344" i="1"/>
  <c r="AV358" i="1"/>
  <c r="AF230" i="1"/>
  <c r="S272" i="1"/>
  <c r="X193" i="1"/>
  <c r="F224" i="1"/>
  <c r="Q303" i="1"/>
  <c r="F325" i="1"/>
  <c r="W26" i="1"/>
  <c r="F124" i="1"/>
  <c r="U344" i="1"/>
  <c r="F380" i="1"/>
  <c r="AB26" i="1"/>
  <c r="O100" i="1"/>
  <c r="GN94" i="1"/>
  <c r="GM94" i="1"/>
  <c r="R344" i="1"/>
  <c r="F372" i="1"/>
  <c r="AD26" i="1"/>
  <c r="Q100" i="1"/>
  <c r="CH344" i="1"/>
  <c r="AY358" i="1"/>
  <c r="CB303" i="1"/>
  <c r="S344" i="1"/>
  <c r="F373" i="1"/>
  <c r="V344" i="1"/>
  <c r="F381" i="1"/>
  <c r="CE131" i="1"/>
  <c r="AV162" i="1"/>
  <c r="GN45" i="1"/>
  <c r="GM45" i="1"/>
  <c r="AX387" i="1"/>
  <c r="AC26" i="1"/>
  <c r="P100" i="1"/>
  <c r="CF100" i="1"/>
  <c r="CE100" i="1"/>
  <c r="CH100" i="1"/>
  <c r="GN93" i="1"/>
  <c r="GM140" i="1"/>
  <c r="GN346" i="1"/>
  <c r="CB358" i="1" s="1"/>
  <c r="GM346" i="1"/>
  <c r="AB358" i="1"/>
  <c r="O199" i="1"/>
  <c r="AB193" i="1"/>
  <c r="W344" i="1"/>
  <c r="F382" i="1"/>
  <c r="S131" i="1"/>
  <c r="F177" i="1"/>
  <c r="GM267" i="1"/>
  <c r="BA230" i="1"/>
  <c r="F292" i="1"/>
  <c r="AO18" i="1"/>
  <c r="F423" i="1"/>
  <c r="AW358" i="1"/>
  <c r="CF344" i="1"/>
  <c r="AL303" i="1"/>
  <c r="Y313" i="1"/>
  <c r="GN44" i="1"/>
  <c r="V272" i="1"/>
  <c r="AI230" i="1"/>
  <c r="GM65" i="1"/>
  <c r="F182" i="1"/>
  <c r="BA131" i="1"/>
  <c r="T26" i="1"/>
  <c r="F121" i="1"/>
  <c r="T387" i="1"/>
  <c r="F293" i="1"/>
  <c r="T230" i="1"/>
  <c r="AZ230" i="1"/>
  <c r="F283" i="1"/>
  <c r="F316" i="1"/>
  <c r="P303" i="1"/>
  <c r="W272" i="1"/>
  <c r="W387" i="1" s="1"/>
  <c r="AJ230" i="1"/>
  <c r="AT230" i="1"/>
  <c r="F290" i="1"/>
  <c r="F324" i="1"/>
  <c r="AZ303" i="1"/>
  <c r="AK272" i="1"/>
  <c r="AV313" i="1"/>
  <c r="CE303" i="1"/>
  <c r="AY313" i="1"/>
  <c r="CH303" i="1"/>
  <c r="GM48" i="1"/>
  <c r="GN48" i="1"/>
  <c r="CF131" i="1"/>
  <c r="AW162" i="1"/>
  <c r="AZ387" i="1"/>
  <c r="BA344" i="1"/>
  <c r="F378" i="1"/>
  <c r="AQ22" i="1"/>
  <c r="F397" i="1"/>
  <c r="AQ419" i="1"/>
  <c r="AD344" i="1"/>
  <c r="Q358" i="1"/>
  <c r="AU199" i="1"/>
  <c r="CD193" i="1"/>
  <c r="GM58" i="1"/>
  <c r="GN58" i="1"/>
  <c r="AF26" i="1"/>
  <c r="S100" i="1"/>
  <c r="GO138" i="1"/>
  <c r="CC162" i="1" s="1"/>
  <c r="GM138" i="1"/>
  <c r="AB162" i="1"/>
  <c r="AC230" i="1"/>
  <c r="CH272" i="1"/>
  <c r="CE272" i="1"/>
  <c r="P272" i="1"/>
  <c r="CF272" i="1"/>
  <c r="AY199" i="1"/>
  <c r="CH193" i="1"/>
  <c r="F327" i="1"/>
  <c r="R303" i="1"/>
  <c r="AE26" i="1"/>
  <c r="R100" i="1"/>
  <c r="GN249" i="1"/>
  <c r="GM249" i="1"/>
  <c r="F361" i="1"/>
  <c r="P344" i="1"/>
  <c r="GN250" i="1"/>
  <c r="GM250" i="1"/>
  <c r="GN47" i="1"/>
  <c r="CB100" i="1" s="1"/>
  <c r="GM47" i="1"/>
  <c r="AE230" i="1"/>
  <c r="R272" i="1"/>
  <c r="Q230" i="1"/>
  <c r="F284" i="1"/>
  <c r="U26" i="1"/>
  <c r="F122" i="1"/>
  <c r="Q131" i="1"/>
  <c r="F174" i="1"/>
  <c r="V26" i="1"/>
  <c r="F123" i="1"/>
  <c r="V387" i="1"/>
  <c r="CA162" i="1" l="1"/>
  <c r="J124" i="5"/>
  <c r="P124" i="5" s="1"/>
  <c r="J207" i="5"/>
  <c r="P207" i="5" s="1"/>
  <c r="J558" i="5"/>
  <c r="P558" i="5" s="1"/>
  <c r="J611" i="5" s="1"/>
  <c r="J173" i="5"/>
  <c r="P173" i="5" s="1"/>
  <c r="J466" i="5"/>
  <c r="CA100" i="1"/>
  <c r="CA272" i="1"/>
  <c r="CB272" i="1"/>
  <c r="AS272" i="1" s="1"/>
  <c r="F338" i="1"/>
  <c r="X303" i="1"/>
  <c r="F185" i="1"/>
  <c r="V131" i="1"/>
  <c r="O313" i="1"/>
  <c r="AB303" i="1"/>
  <c r="J292" i="5"/>
  <c r="P292" i="5" s="1"/>
  <c r="J679" i="5"/>
  <c r="P679" i="5" s="1"/>
  <c r="J684" i="5" s="1"/>
  <c r="CB26" i="1"/>
  <c r="AS100" i="1"/>
  <c r="CC131" i="1"/>
  <c r="AT162" i="1"/>
  <c r="CA131" i="1"/>
  <c r="AR162" i="1"/>
  <c r="CA26" i="1"/>
  <c r="AR100" i="1"/>
  <c r="U22" i="1"/>
  <c r="F409" i="1"/>
  <c r="U419" i="1"/>
  <c r="AR272" i="1"/>
  <c r="CA230" i="1"/>
  <c r="CB230" i="1"/>
  <c r="CB344" i="1"/>
  <c r="AS358" i="1"/>
  <c r="W22" i="1"/>
  <c r="F411" i="1"/>
  <c r="W419" i="1"/>
  <c r="AK230" i="1"/>
  <c r="X272" i="1"/>
  <c r="P230" i="1"/>
  <c r="F275" i="1"/>
  <c r="AB131" i="1"/>
  <c r="O162" i="1"/>
  <c r="AU193" i="1"/>
  <c r="F218" i="1"/>
  <c r="AU387" i="1"/>
  <c r="W230" i="1"/>
  <c r="F296" i="1"/>
  <c r="Y303" i="1"/>
  <c r="F339" i="1"/>
  <c r="CA358" i="1"/>
  <c r="CH26" i="1"/>
  <c r="AY100" i="1"/>
  <c r="S230" i="1"/>
  <c r="F287" i="1"/>
  <c r="Y230" i="1"/>
  <c r="F298" i="1"/>
  <c r="AZ22" i="1"/>
  <c r="AZ419" i="1"/>
  <c r="F398" i="1"/>
  <c r="AX22" i="1"/>
  <c r="AX419" i="1"/>
  <c r="F394" i="1"/>
  <c r="AY344" i="1"/>
  <c r="F366" i="1"/>
  <c r="O26" i="1"/>
  <c r="F102" i="1"/>
  <c r="Y131" i="1"/>
  <c r="F188" i="1"/>
  <c r="Y26" i="1"/>
  <c r="F126" i="1"/>
  <c r="Y387" i="1"/>
  <c r="CH230" i="1"/>
  <c r="AY272" i="1"/>
  <c r="AW131" i="1"/>
  <c r="F168" i="1"/>
  <c r="V230" i="1"/>
  <c r="F295" i="1"/>
  <c r="O193" i="1"/>
  <c r="F201" i="1"/>
  <c r="CF26" i="1"/>
  <c r="AW100" i="1"/>
  <c r="F363" i="1"/>
  <c r="AV344" i="1"/>
  <c r="F340" i="1"/>
  <c r="AR303" i="1"/>
  <c r="Y344" i="1"/>
  <c r="F384" i="1"/>
  <c r="X131" i="1"/>
  <c r="F187" i="1"/>
  <c r="R230" i="1"/>
  <c r="F286" i="1"/>
  <c r="R26" i="1"/>
  <c r="F114" i="1"/>
  <c r="R387" i="1"/>
  <c r="CE230" i="1"/>
  <c r="AV272" i="1"/>
  <c r="Q344" i="1"/>
  <c r="F370" i="1"/>
  <c r="AV303" i="1"/>
  <c r="F318" i="1"/>
  <c r="CE26" i="1"/>
  <c r="AV100" i="1"/>
  <c r="AV131" i="1"/>
  <c r="F167" i="1"/>
  <c r="AR193" i="1"/>
  <c r="F226" i="1"/>
  <c r="U230" i="1"/>
  <c r="F294" i="1"/>
  <c r="F205" i="1"/>
  <c r="AW193" i="1"/>
  <c r="X344" i="1"/>
  <c r="F383" i="1"/>
  <c r="AY193" i="1"/>
  <c r="F207" i="1"/>
  <c r="V22" i="1"/>
  <c r="V419" i="1"/>
  <c r="F410" i="1"/>
  <c r="CF230" i="1"/>
  <c r="AW272" i="1"/>
  <c r="S26" i="1"/>
  <c r="F115" i="1"/>
  <c r="S387" i="1"/>
  <c r="AQ18" i="1"/>
  <c r="F429" i="1"/>
  <c r="F321" i="1"/>
  <c r="AY303" i="1"/>
  <c r="T22" i="1"/>
  <c r="F408" i="1"/>
  <c r="T419" i="1"/>
  <c r="AW344" i="1"/>
  <c r="F364" i="1"/>
  <c r="AB344" i="1"/>
  <c r="O358" i="1"/>
  <c r="P26" i="1"/>
  <c r="F103" i="1"/>
  <c r="P387" i="1"/>
  <c r="AS303" i="1"/>
  <c r="F330" i="1"/>
  <c r="Q26" i="1"/>
  <c r="F112" i="1"/>
  <c r="Q387" i="1"/>
  <c r="BA22" i="1"/>
  <c r="F407" i="1"/>
  <c r="BA419" i="1"/>
  <c r="AW303" i="1"/>
  <c r="F319" i="1"/>
  <c r="F274" i="1"/>
  <c r="O230" i="1"/>
  <c r="AV193" i="1"/>
  <c r="F204" i="1"/>
  <c r="AY131" i="1"/>
  <c r="F170" i="1"/>
  <c r="R131" i="1"/>
  <c r="F176" i="1"/>
  <c r="X26" i="1"/>
  <c r="F125" i="1"/>
  <c r="X387" i="1"/>
  <c r="O387" i="1" l="1"/>
  <c r="J685" i="5"/>
  <c r="I18" i="5"/>
  <c r="G18" i="5" s="1"/>
  <c r="J327" i="5"/>
  <c r="O303" i="1"/>
  <c r="F315" i="1"/>
  <c r="R22" i="1"/>
  <c r="F401" i="1"/>
  <c r="R419" i="1"/>
  <c r="U18" i="1"/>
  <c r="F441" i="1"/>
  <c r="X22" i="1"/>
  <c r="F412" i="1"/>
  <c r="X419" i="1"/>
  <c r="O344" i="1"/>
  <c r="F360" i="1"/>
  <c r="T18" i="1"/>
  <c r="F440" i="1"/>
  <c r="AW230" i="1"/>
  <c r="F278" i="1"/>
  <c r="Y22" i="1"/>
  <c r="F413" i="1"/>
  <c r="Y419" i="1"/>
  <c r="AY26" i="1"/>
  <c r="F108" i="1"/>
  <c r="AY387" i="1"/>
  <c r="W18" i="1"/>
  <c r="F443" i="1"/>
  <c r="AR230" i="1"/>
  <c r="F299" i="1"/>
  <c r="AR26" i="1"/>
  <c r="F127" i="1"/>
  <c r="AT131" i="1"/>
  <c r="F180" i="1"/>
  <c r="AT387" i="1"/>
  <c r="AS230" i="1"/>
  <c r="F289" i="1"/>
  <c r="AZ18" i="1"/>
  <c r="F430" i="1"/>
  <c r="CA344" i="1"/>
  <c r="AR358" i="1"/>
  <c r="AR387" i="1" s="1"/>
  <c r="O131" i="1"/>
  <c r="F164" i="1"/>
  <c r="X230" i="1"/>
  <c r="F297" i="1"/>
  <c r="AR131" i="1"/>
  <c r="F189" i="1"/>
  <c r="AS26" i="1"/>
  <c r="F117" i="1"/>
  <c r="AS387" i="1"/>
  <c r="S22" i="1"/>
  <c r="S419" i="1"/>
  <c r="F402" i="1"/>
  <c r="AV26" i="1"/>
  <c r="F105" i="1"/>
  <c r="AV387" i="1"/>
  <c r="O22" i="1"/>
  <c r="F389" i="1"/>
  <c r="O419" i="1"/>
  <c r="Q22" i="1"/>
  <c r="Q419" i="1"/>
  <c r="F399" i="1"/>
  <c r="AW26" i="1"/>
  <c r="F106" i="1"/>
  <c r="AW387" i="1"/>
  <c r="F280" i="1"/>
  <c r="AY230" i="1"/>
  <c r="BA18" i="1"/>
  <c r="F439" i="1"/>
  <c r="P22" i="1"/>
  <c r="F390" i="1"/>
  <c r="P419" i="1"/>
  <c r="V18" i="1"/>
  <c r="F442" i="1"/>
  <c r="F277" i="1"/>
  <c r="AV230" i="1"/>
  <c r="AX18" i="1"/>
  <c r="F426" i="1"/>
  <c r="AU22" i="1"/>
  <c r="F406" i="1"/>
  <c r="AU419" i="1"/>
  <c r="AS344" i="1"/>
  <c r="F375" i="1"/>
  <c r="J16" i="2" l="1"/>
  <c r="J18" i="2" s="1"/>
  <c r="I19" i="5"/>
  <c r="H16" i="2"/>
  <c r="H18" i="2" s="1"/>
  <c r="I17" i="5"/>
  <c r="P18" i="1"/>
  <c r="F422" i="1"/>
  <c r="S18" i="1"/>
  <c r="F434" i="1"/>
  <c r="AU18" i="1"/>
  <c r="F438" i="1"/>
  <c r="AW22" i="1"/>
  <c r="F393" i="1"/>
  <c r="AW419" i="1"/>
  <c r="Q18" i="1"/>
  <c r="F431" i="1"/>
  <c r="F385" i="1"/>
  <c r="AR344" i="1"/>
  <c r="AY22" i="1"/>
  <c r="F395" i="1"/>
  <c r="AY419" i="1"/>
  <c r="X18" i="1"/>
  <c r="F444" i="1"/>
  <c r="AV22" i="1"/>
  <c r="AV419" i="1"/>
  <c r="F392" i="1"/>
  <c r="AR22" i="1"/>
  <c r="AR419" i="1"/>
  <c r="F414" i="1"/>
  <c r="F415" i="1" s="1"/>
  <c r="J686" i="5" s="1"/>
  <c r="R18" i="1"/>
  <c r="F433" i="1"/>
  <c r="O18" i="1"/>
  <c r="F421" i="1"/>
  <c r="AT22" i="1"/>
  <c r="F405" i="1"/>
  <c r="AT419" i="1"/>
  <c r="AS22" i="1"/>
  <c r="F404" i="1"/>
  <c r="AS419" i="1"/>
  <c r="Y18" i="1"/>
  <c r="F445" i="1"/>
  <c r="F16" i="2" l="1"/>
  <c r="F18" i="2" s="1"/>
  <c r="I15" i="5"/>
  <c r="E16" i="2"/>
  <c r="I14" i="5"/>
  <c r="AT18" i="1"/>
  <c r="F437" i="1"/>
  <c r="AR18" i="1"/>
  <c r="F446" i="1"/>
  <c r="AS18" i="1"/>
  <c r="F436" i="1"/>
  <c r="F416" i="1"/>
  <c r="J687" i="5" s="1"/>
  <c r="AV18" i="1"/>
  <c r="F424" i="1"/>
  <c r="AY18" i="1"/>
  <c r="F427" i="1"/>
  <c r="E18" i="2"/>
  <c r="I16" i="2"/>
  <c r="I18" i="2" s="1"/>
  <c r="AW18" i="1"/>
  <c r="F425" i="1"/>
  <c r="F417" i="1" l="1"/>
  <c r="J688" i="5" l="1"/>
  <c r="I13" i="5"/>
</calcChain>
</file>

<file path=xl/sharedStrings.xml><?xml version="1.0" encoding="utf-8"?>
<sst xmlns="http://schemas.openxmlformats.org/spreadsheetml/2006/main" count="14094" uniqueCount="1314">
  <si>
    <t>Smeta.RU  (495) 974-1589</t>
  </si>
  <si>
    <t>_PS_</t>
  </si>
  <si>
    <t>Smeta.RU</t>
  </si>
  <si>
    <t/>
  </si>
  <si>
    <t>Новый объект</t>
  </si>
  <si>
    <t>на капитальный ремонт помещения первого этажа №20,21,22,25,26,27,28,29 и второго этажа №1,2.3 по адресу: г.Озёрск,Челябинская область,здание ОТИ НИЯУ МИФИ,ул.Победы,48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</si>
  <si>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</si>
  <si>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</si>
  <si>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</si>
  <si>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</si>
  <si>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</si>
  <si>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</si>
  <si>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</si>
  <si>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Общестроительные работы</t>
  </si>
  <si>
    <t>1</t>
  </si>
  <si>
    <t>63-7-5</t>
  </si>
  <si>
    <t>Разборка облицовки стен из керамических глазурованных плиток</t>
  </si>
  <si>
    <t>100 м2</t>
  </si>
  <si>
    <t>ФЕРр-2001, 63-7-5, приказ Минстроя России №1039/пр от 30.12.2016г.</t>
  </si>
  <si>
    <t>Ремонтно-строительные работы</t>
  </si>
  <si>
    <t>Стекольные, обойные, облицовочные работы</t>
  </si>
  <si>
    <t>рФЕР-63</t>
  </si>
  <si>
    <t>2</t>
  </si>
  <si>
    <t>46-04-005-02</t>
  </si>
  <si>
    <t>Разборка монолитных перегородок железобетонных</t>
  </si>
  <si>
    <t>м3</t>
  </si>
  <si>
    <t>ФЕР-2001, 46-04-005-02, приказ Минстроя России №1039/пр от 30.12.2016г.</t>
  </si>
  <si>
    <t>Реконструкция зданий и сооружений</t>
  </si>
  <si>
    <t>ФЕР-46</t>
  </si>
  <si>
    <t>*0,9</t>
  </si>
  <si>
    <t>*0,85</t>
  </si>
  <si>
    <t>3</t>
  </si>
  <si>
    <t>09-03-029-01</t>
  </si>
  <si>
    <t>Демонтаж   прямолинейных  металлических лестниц</t>
  </si>
  <si>
    <t>т</t>
  </si>
  <si>
    <t>ФЕР-2001, 09-03-029-01, приказ Минстроя России №1039/пр от 30.12.2016г.</t>
  </si>
  <si>
    <t>)*0</t>
  </si>
  <si>
    <t>)*0,7)*1,2</t>
  </si>
  <si>
    <t>Металлические конструкции</t>
  </si>
  <si>
    <t>ФЕР-09</t>
  </si>
  <si>
    <t>Поправка: МДС 81-36.2004, п.3.3.1.д  Поправка: МДС 81-35.2004, прил.1, т.1, п.2</t>
  </si>
  <si>
    <t>4</t>
  </si>
  <si>
    <t>46-04-012-02</t>
  </si>
  <si>
    <t>Разборка деревянных заполнений проемов оконных без подоконных досок</t>
  </si>
  <si>
    <t>ФЕР-2001, 46-04-012-02, приказ Минстроя России №1039/пр от 30.12.2016г.</t>
  </si>
  <si>
    <t>5</t>
  </si>
  <si>
    <t>46-04-012-03</t>
  </si>
  <si>
    <t>Разборка деревянных заполнений проемов дверных</t>
  </si>
  <si>
    <t>ФЕР-2001, 46-04-012-03, приказ Минстроя России №1039/пр от 30.12.2016г.</t>
  </si>
  <si>
    <t>6</t>
  </si>
  <si>
    <t>10-01-034-05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</si>
  <si>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</si>
  <si>
    <t>ФЕР-2001, 10-01-034-05, приказ Минстроя России №1039/пр от 30.12.2016г.</t>
  </si>
  <si>
    <t>)*1,25)*1,2</t>
  </si>
  <si>
    <t>)*1,15)*1,2</t>
  </si>
  <si>
    <t>Деревянные конструкции</t>
  </si>
  <si>
    <t>ФЕР-10</t>
  </si>
  <si>
    <t>Поправка: МДС 81-35.2004, п.4.7  Поправка: МДС 81-35.2004, прил.1, т.3, п.1</t>
  </si>
  <si>
    <t>6,1</t>
  </si>
  <si>
    <t>11.3.02.01-0015</t>
  </si>
  <si>
    <t>Блок оконный пластиковый двустворчатый, с глухой и поворотно-откидной створкой, двухкамерным стеклопакетом (32 мм), площадью до 1 м2 прим.</t>
  </si>
  <si>
    <t>м2</t>
  </si>
  <si>
    <t>ФССЦ-2001, 11.3.02.01-0015, приказ Минстроя России №1039/пр от 30.12.2016г.</t>
  </si>
  <si>
    <t>6,2</t>
  </si>
  <si>
    <t>11.3.02.03</t>
  </si>
  <si>
    <t>Блоки оконные пластиковые</t>
  </si>
  <si>
    <t>7</t>
  </si>
  <si>
    <t>10-01-035-01</t>
  </si>
  <si>
    <t>Установка подоконных досок из ПВХ в каменных стенах толщиной до 0,51 м</t>
  </si>
  <si>
    <t>100 м</t>
  </si>
  <si>
    <t>ФЕР-2001, 10-01-035-01, приказ Минстроя России №1039/пр от 30.12.2016г.</t>
  </si>
  <si>
    <t>7,1</t>
  </si>
  <si>
    <t>11.3.03.01-0006</t>
  </si>
  <si>
    <t>Доски подоконные ПВХ, шириной 350 мм</t>
  </si>
  <si>
    <t>м</t>
  </si>
  <si>
    <t>ФССЦ-2001, 11.3.03.01-0006, приказ Минстроя России №1039/пр от 30.12.2016г.</t>
  </si>
  <si>
    <t>7,2</t>
  </si>
  <si>
    <t>11.3.03.01</t>
  </si>
  <si>
    <t>Доски подоконные ПВХ</t>
  </si>
  <si>
    <t>8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</si>
  <si>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</si>
  <si>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</si>
  <si>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</si>
  <si>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</si>
  <si>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</si>
  <si>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9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</si>
  <si>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</si>
  <si>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</si>
  <si>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</si>
  <si>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Поправка: МДС 81-35.2004, п.4.7  Поправка: МДС 81-35.2004, прил.1, т.1, п.2</t>
  </si>
  <si>
    <t>9,1</t>
  </si>
  <si>
    <t>11.3.01.02-0021</t>
  </si>
  <si>
    <t>Блоки дверные входные пластиковые с простой коробкой, однопольная с простой фурнитурой, без стеклопакета по типу сэндвич, площадь от 1,5-2 м2</t>
  </si>
  <si>
    <t>ФССЦ-2001, 11.3.01.02-0021, приказ Минстроя России №1039/пр от 30.12.2016г.</t>
  </si>
  <si>
    <t>9,2</t>
  </si>
  <si>
    <t>11.3.01.05</t>
  </si>
  <si>
    <t>Блоки дверные входные пластиковые</t>
  </si>
  <si>
    <t>10</t>
  </si>
  <si>
    <t>10-01-060-01</t>
  </si>
  <si>
    <t>Установка и крепление наличников</t>
  </si>
  <si>
    <t>ФЕР-2001, 10-01-060-01, приказ Минстроя России №1039/пр от 30.12.2016г.</t>
  </si>
  <si>
    <t>10,1</t>
  </si>
  <si>
    <t>11.3.03.02-0003</t>
  </si>
  <si>
    <t>Наличники из ПВХ, шириной 60 мм</t>
  </si>
  <si>
    <t>ФССЦ-2001, 11.3.03.02-0003, приказ Минстроя России №1039/пр от 30.12.2016г.</t>
  </si>
  <si>
    <t>10,2</t>
  </si>
  <si>
    <t>11.1.01.10</t>
  </si>
  <si>
    <t>Наличники</t>
  </si>
  <si>
    <t>11</t>
  </si>
  <si>
    <t>10-04-010-02</t>
  </si>
  <si>
    <t>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два слоя без изоляции</t>
  </si>
  <si>
    <t>ФЕР-2001, 10-04-010-02, приказ Минстроя России №1039/пр от 30.12.2016г.</t>
  </si>
  <si>
    <t>11,1</t>
  </si>
  <si>
    <t>01.6.01.02-0005</t>
  </si>
  <si>
    <t>Листы гипсокартонные ГКЛ 9,5 мм прим.</t>
  </si>
  <si>
    <t>ФССЦ-2001, 01.6.01.02-0005, приказ Минстроя России №1039/пр от 30.12.2016г.</t>
  </si>
  <si>
    <t>11,2</t>
  </si>
  <si>
    <t>01.6.01.02</t>
  </si>
  <si>
    <t>Листы гипсокартонные</t>
  </si>
  <si>
    <t>12</t>
  </si>
  <si>
    <t>15-01-019-01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</si>
  <si>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t>
  </si>
  <si>
    <t>ФЕР-2001, 15-01-019-01, приказ Минстроя России №1039/пр от 30.12.2016г.</t>
  </si>
  <si>
    <t>Отделочные работы</t>
  </si>
  <si>
    <t>ФЕР-15</t>
  </si>
  <si>
    <t>12,1</t>
  </si>
  <si>
    <t>06.2.01.02-0024</t>
  </si>
  <si>
    <t>Плитки керамические глазурованные для внутренней облицовки стен многоцветные, "Итало-дизайн" (коллекция "Белая", эконом- класс), размер 300х200х7 мм</t>
  </si>
  <si>
    <t>ФССЦ-2001, 06.2.01.02-0024, приказ Минстроя России №1039/пр от 30.12.2016г.</t>
  </si>
  <si>
    <t>12,2</t>
  </si>
  <si>
    <t>06.2.05.04</t>
  </si>
  <si>
    <t>Плитки рядовые</t>
  </si>
  <si>
    <t>13</t>
  </si>
  <si>
    <t>11-01-004-01</t>
  </si>
  <si>
    <t>Устройство теплоизоляции оклеечной рулонными материалами на мастике Битуминоль, первый слой</t>
  </si>
  <si>
    <t>ФЕР-2001, 11-01-004-01, приказ Минстроя России №1039/пр от 30.12.2016г.</t>
  </si>
  <si>
    <t>Полы</t>
  </si>
  <si>
    <t>ФЕР-11</t>
  </si>
  <si>
    <t>13,1</t>
  </si>
  <si>
    <t>12.2.03.13-0005</t>
  </si>
  <si>
    <t>Фольгоизол ФК, ФГ</t>
  </si>
  <si>
    <t>ФССЦ-2001, 12.2.03.13-0005, приказ Минстроя России №1039/пр от 30.12.2016г.</t>
  </si>
  <si>
    <t>13,2</t>
  </si>
  <si>
    <t>12.1.02.15</t>
  </si>
  <si>
    <t>Материал рулонный</t>
  </si>
  <si>
    <t>14</t>
  </si>
  <si>
    <t>11-01-051-02</t>
  </si>
  <si>
    <t>Устройство систем электрического отопления полов ("теплый пол") на основе нагревательного мата по готовому основанию</t>
  </si>
  <si>
    <t>ФЕР-2001, 11-01-051-02, приказ Минстроя России №1039/пр от 30.12.2016г.</t>
  </si>
  <si>
    <t>14,1</t>
  </si>
  <si>
    <t>01.7.18.03-0012</t>
  </si>
  <si>
    <t>Мат нагревательный Ceilhit 22 PSVD/180-N50-1490, площадь обогрева 8,13 м2</t>
  </si>
  <si>
    <t>компл.</t>
  </si>
  <si>
    <t>ФССЦ-2001, 01.7.18.03-0012, приказ Минстроя России №1039/пр от 30.12.2016г.</t>
  </si>
  <si>
    <t>14,2</t>
  </si>
  <si>
    <t>01.7.18.03</t>
  </si>
  <si>
    <t>Мат нагревательный для электрообогрева полов</t>
  </si>
  <si>
    <t>14,3</t>
  </si>
  <si>
    <t>20.5.02.06-0035</t>
  </si>
  <si>
    <t>Разветвительная коробка У-196</t>
  </si>
  <si>
    <t>10 шт.</t>
  </si>
  <si>
    <t>ФССЦ-2001, 20.5.02.06-0035, приказ Минстроя России №1039/пр от 30.12.2016г.</t>
  </si>
  <si>
    <t>15</t>
  </si>
  <si>
    <t>11-01-011-03</t>
  </si>
  <si>
    <t>Устройство стяжек бетонных толщиной 20 мм (50мм)</t>
  </si>
  <si>
    <t>ФЕР-2001, 11-01-011-03, приказ Минстроя России №1039/пр от 30.12.2016г.</t>
  </si>
  <si>
    <t>*2,5</t>
  </si>
  <si>
    <t>)*1,25*2,5)*1,2</t>
  </si>
  <si>
    <t>)*1,15*2,5)*1,2</t>
  </si>
  <si>
    <t>Поправка: МДС 81-35.2004, п.4.7  Поправка: МДС 81-35.2004, п.4.7  Поправка: МДС 81-35.2004, прил.1, т.1, п.2</t>
  </si>
  <si>
    <t>15,1</t>
  </si>
  <si>
    <t>04.1.02.05-0074</t>
  </si>
  <si>
    <t>Бетон тяжелый, крупность заполнителя более 40 мм, класс В7,5 (М100)</t>
  </si>
  <si>
    <t>ФССЦ-2001, 04.1.02.05-0074, приказ Минстроя России №1039/пр от 30.12.2016г.</t>
  </si>
  <si>
    <t>15,2</t>
  </si>
  <si>
    <t>04.1.02.06</t>
  </si>
  <si>
    <t>Бетон тяжелый</t>
  </si>
  <si>
    <t>Поправка: МДС 81-35.2004, п.4.7</t>
  </si>
  <si>
    <t>16</t>
  </si>
  <si>
    <t>11-01-027-06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</si>
  <si>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 (6м2 - крыльцо) (согласно тех.заданию)</t>
  </si>
  <si>
    <t>ФЕР-2001, 11-01-027-06, приказ Минстроя России №1039/пр от 30.12.2016г.</t>
  </si>
  <si>
    <t>17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</si>
  <si>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</si>
  <si>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</si>
  <si>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</si>
  <si>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17,1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</si>
  <si>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</si>
  <si>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</si>
  <si>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</si>
  <si>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17,2</t>
  </si>
  <si>
    <t>06.2.05.03-0021</t>
  </si>
  <si>
    <t>Плитка керамогранитная  размером 300х300 мм (согласно тех.заданию)</t>
  </si>
  <si>
    <t>ФССЦ-2001, 06.2.05.03-0021, приказ Минстроя России №1039/пр от 30.12.2016г.</t>
  </si>
  <si>
    <t>18</t>
  </si>
  <si>
    <t>15-01-050-01</t>
  </si>
  <si>
    <t>Облицовка стен декоративным бумажно-слоистым пластиком или листами из синтетических материалов по деревянной обрешетке</t>
  </si>
  <si>
    <t>ФЕР-2001, 15-01-050-01, приказ Минстроя России №1039/пр от 30.12.2016г.</t>
  </si>
  <si>
    <t>18,1</t>
  </si>
  <si>
    <t>11.3.03.04-0001</t>
  </si>
  <si>
    <t>Панели декоративные пластиковые «PROFIPLAST», размером 2700х250х8 мм</t>
  </si>
  <si>
    <t>ФССЦ-2001, 11.3.03.04-0001, приказ Минстроя России №1039/пр от 30.12.2016г.</t>
  </si>
  <si>
    <t>18,2</t>
  </si>
  <si>
    <t>11.2.04.05-0001</t>
  </si>
  <si>
    <t>Рейки деревянные 8х18 мм</t>
  </si>
  <si>
    <t>ФССЦ-2001, 11.2.04.05-0001, приказ Минстроя России №1039/пр от 30.12.2016г.</t>
  </si>
  <si>
    <t>18,3</t>
  </si>
  <si>
    <t>11.3.03.11-0001</t>
  </si>
  <si>
    <t>Раскладки поливинилхлоридные вертикальные</t>
  </si>
  <si>
    <t>ФССЦ-2001, 11.3.03.11-0001, приказ Минстроя России №1039/пр от 30.12.2016г.</t>
  </si>
  <si>
    <t>18,4</t>
  </si>
  <si>
    <t>11.3.03.11-0002</t>
  </si>
  <si>
    <t>Раскладки поливинилхлоридные горизонтальные</t>
  </si>
  <si>
    <t>ФССЦ-2001, 11.3.03.11-0002, приказ Минстроя России №1039/пр от 30.12.2016г.</t>
  </si>
  <si>
    <t>18,5</t>
  </si>
  <si>
    <t>14.1.02.04-0102</t>
  </si>
  <si>
    <t>Клей Forbo 522, для укладки ПВХ-покрытий</t>
  </si>
  <si>
    <t>кг</t>
  </si>
  <si>
    <t>ФССЦ-2001, 14.1.02.04-0102, приказ Минстроя России №1039/пр от 30.12.2016г.</t>
  </si>
  <si>
    <t>18,6</t>
  </si>
  <si>
    <t>01.6.01.11</t>
  </si>
  <si>
    <t>Листы облицовочные декоративные</t>
  </si>
  <si>
    <t>18,7</t>
  </si>
  <si>
    <t>11.2.04.05</t>
  </si>
  <si>
    <t>Рейки деревянные</t>
  </si>
  <si>
    <t>18,8</t>
  </si>
  <si>
    <t>11.3.03.11</t>
  </si>
  <si>
    <t>18,9</t>
  </si>
  <si>
    <t>18,10</t>
  </si>
  <si>
    <t>14.1.06.05</t>
  </si>
  <si>
    <t>Клей</t>
  </si>
  <si>
    <t>19</t>
  </si>
  <si>
    <t>15-01-050-02</t>
  </si>
  <si>
    <t>Облицовка стен декоративным бумажно-слоистым пластиком или листами из синтетических материалов по металлическому каркасу</t>
  </si>
  <si>
    <t>ФЕР-2001, 15-01-050-02, приказ Минстроя России №1039/пр от 30.12.2016г.</t>
  </si>
  <si>
    <t>19,1</t>
  </si>
  <si>
    <t>19,2</t>
  </si>
  <si>
    <t>20</t>
  </si>
  <si>
    <t>62-17-3</t>
  </si>
  <si>
    <t>Окрашивание водоэмульсионными составами поверхностей потолков, ранее окрашенных водоэмульсионной краской, с расчисткой старой краски до 35%</t>
  </si>
  <si>
    <t>ФЕРр-2001, 62-17-3, приказ Минстроя России №1039/пр от 30.12.2016г.</t>
  </si>
  <si>
    <t>Малярные работы</t>
  </si>
  <si>
    <t>рФЕР-62</t>
  </si>
  <si>
    <t>20,1</t>
  </si>
  <si>
    <t>14.3.02.01-0124</t>
  </si>
  <si>
    <t>Краска акриловая ОПТИМИСТ водно-дисперсионная</t>
  </si>
  <si>
    <t>ФССЦ-2001, 14.3.02.01-0124, приказ Минстроя России №1039/пр от 30.12.2016г.</t>
  </si>
  <si>
    <t>20,2</t>
  </si>
  <si>
    <t>14.3.02.01</t>
  </si>
  <si>
    <t>Краска водоэмульсионная</t>
  </si>
  <si>
    <t>21</t>
  </si>
  <si>
    <t>08-02-001-07</t>
  </si>
  <si>
    <t>Кладка стен кирпичных внутренних при высоте этажа до 4 м</t>
  </si>
  <si>
    <t>ФЕР-2001, 08-02-001-07, приказ Минстроя России №1039/пр от 30.12.2016г.</t>
  </si>
  <si>
    <t>Конструкции из кирпича и блоков</t>
  </si>
  <si>
    <t>ФЕР-08</t>
  </si>
  <si>
    <t>21,1</t>
  </si>
  <si>
    <t>06.1.01.04-0007</t>
  </si>
  <si>
    <t>Кирпич глиняный для дымовых труб, размером 250х120х65 мм, марка 150</t>
  </si>
  <si>
    <t>1000 шт.</t>
  </si>
  <si>
    <t>ФССЦ-2001, 06.1.01.04-0007, приказ Минстроя России №1039/пр от 30.12.2016г.</t>
  </si>
  <si>
    <t>21,2</t>
  </si>
  <si>
    <t>06.1.01.05</t>
  </si>
  <si>
    <t>Кирпич керамический, силикатный или пустотелый</t>
  </si>
  <si>
    <t>22</t>
  </si>
  <si>
    <t>09-07-030-05</t>
  </si>
  <si>
    <t>Установка швеллера</t>
  </si>
  <si>
    <t>ФЕР-2001, 09-07-030-05, приказ Минстроя России №1039/пр от 30.12.2016г.</t>
  </si>
  <si>
    <t>22,1</t>
  </si>
  <si>
    <t>08.3.11.01-0050</t>
  </si>
  <si>
    <t>Швеллеры Ш - 150 (согласно тех.заданию)</t>
  </si>
  <si>
    <t>ФССЦ-2001, 08.3.11.01-0050, приказ Минстроя России №1039/пр от 30.12.2016г.</t>
  </si>
  <si>
    <t>23</t>
  </si>
  <si>
    <t>11-01-012-03</t>
  </si>
  <si>
    <t>Укладка лаг по плитам перекрытий</t>
  </si>
  <si>
    <t>ФЕР-2001, 11-01-012-03, приказ Минстроя России №1039/пр от 30.12.2016г.</t>
  </si>
  <si>
    <t>24</t>
  </si>
  <si>
    <t>11-01-033-02</t>
  </si>
  <si>
    <t>Устройство покрытий дощатых толщиной 40 мм</t>
  </si>
  <si>
    <t>ФЕР-2001, 11-01-033-02, приказ Минстроя России №1039/пр от 30.12.2016г.</t>
  </si>
  <si>
    <t>24,1</t>
  </si>
  <si>
    <t>11.1.03.06-0075</t>
  </si>
  <si>
    <t>Доски обрезные хвойных пород длиной 2-3,75 м, шириной 75-150 мм, толщиной 32-40 мм, III сорта</t>
  </si>
  <si>
    <t>ФССЦ-2001, 11.1.03.06-0075, приказ Минстроя России №1039/пр от 30.12.2016г.</t>
  </si>
  <si>
    <t>25</t>
  </si>
  <si>
    <t>11-01-053-01</t>
  </si>
  <si>
    <t>Устройство оснований полов из фанеры в один слой площадью до 20 м2</t>
  </si>
  <si>
    <t>ФЕР-2001, 11-01-053-01, приказ Минстроя России №1039/пр от 30.12.2016г.</t>
  </si>
  <si>
    <t>26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</si>
  <si>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</si>
  <si>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</si>
  <si>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</si>
  <si>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26,1</t>
  </si>
  <si>
    <t>01.6.03.04-0121</t>
  </si>
  <si>
    <t>Линолеум коммерческий гомогенный "ТАРКЕТТ iQ MONOLIT" (толщина 2 мм, класс 34/43, пож. безопасность Г1, В2, РП1, Д2, Т2)</t>
  </si>
  <si>
    <t>ФССЦ-2001, 01.6.03.04-0121, приказ Минстроя России №1039/пр от 30.12.2016г.</t>
  </si>
  <si>
    <t>26,2</t>
  </si>
  <si>
    <t>14.1.02.04-0101</t>
  </si>
  <si>
    <t>Клей «Бустилат»</t>
  </si>
  <si>
    <t>ФССЦ-2001, 14.1.02.04-0101, приказ Минстроя России №1039/пр от 30.12.2016г.</t>
  </si>
  <si>
    <t>26,3</t>
  </si>
  <si>
    <t>01.6.03.04</t>
  </si>
  <si>
    <t>Линолеум на теплозвукоизолирующей подоснове</t>
  </si>
  <si>
    <t>26,4</t>
  </si>
  <si>
    <t>Состав клеящий</t>
  </si>
  <si>
    <t>27</t>
  </si>
  <si>
    <t>09-06-024-10</t>
  </si>
  <si>
    <t>Монтаж лестниц, площадок, ограждений</t>
  </si>
  <si>
    <t>ФЕР-2001, 09-06-024-10, приказ Минстроя России №1039/пр от 30.12.2016г.</t>
  </si>
  <si>
    <t>27,1</t>
  </si>
  <si>
    <t>07.2.05.01-0032</t>
  </si>
  <si>
    <t>Ограждения лестничных проемов, лестничные маршей</t>
  </si>
  <si>
    <t>ФССЦ-2001, 07.2.05.01-0032,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</si>
  <si>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</si>
  <si>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</si>
  <si>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</si>
  <si>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</si>
  <si>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</si>
  <si>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</si>
  <si>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</si>
  <si>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</si>
  <si>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</si>
  <si>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</si>
  <si>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</si>
  <si>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</si>
  <si>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</si>
  <si>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</si>
  <si>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</si>
  <si>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</si>
  <si>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</si>
  <si>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</si>
  <si>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</si>
  <si>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</si>
  <si>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</si>
  <si>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</si>
  <si>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</si>
  <si>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</si>
  <si>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</si>
  <si>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</si>
  <si>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</si>
  <si>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</si>
  <si>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</si>
  <si>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</si>
  <si>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</si>
  <si>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</si>
  <si>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</si>
  <si>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</si>
  <si>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</si>
  <si>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</si>
  <si>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</si>
  <si>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</si>
  <si>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</si>
  <si>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</si>
  <si>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</si>
  <si>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</si>
  <si>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</si>
  <si>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</si>
  <si>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</si>
  <si>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</si>
  <si>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</si>
  <si>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</si>
  <si>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</si>
  <si>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</si>
  <si>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</si>
  <si>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</si>
  <si>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Система электроснабжения</t>
  </si>
  <si>
    <t>28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</si>
  <si>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</si>
  <si>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</si>
  <si>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</si>
  <si>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</si>
  <si>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)*1,2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</si>
  <si>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</si>
  <si>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</si>
  <si>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</si>
  <si>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81-35.2004, прил.1, т.2, п.1</t>
  </si>
  <si>
    <t>28,1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</si>
  <si>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</si>
  <si>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</si>
  <si>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</si>
  <si>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</si>
  <si>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</si>
  <si>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29</t>
  </si>
  <si>
    <t>м08-02-412-04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</si>
  <si>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</si>
  <si>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>ФЕРм-2001, м08-02-412-04, приказ Минстроя России №1039/пр от 30.12.2016г.</t>
  </si>
  <si>
    <t>29,1</t>
  </si>
  <si>
    <t>21.1.06.09-0177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</si>
  <si>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t>
  </si>
  <si>
    <t>ФССЦ-2001, 21.1.06.09-0177, приказ Минстроя России №1039/пр от 30.12.2016г.</t>
  </si>
  <si>
    <t>30</t>
  </si>
  <si>
    <t>м08-02-403-03</t>
  </si>
  <si>
    <t>Прокладка кабеля  в защитной оболочке  трех-пятижильный под штукатурку по стенам или в бороздах</t>
  </si>
  <si>
    <t>ФЕРм-2001, м08-02-403-03, приказ Минстроя России №1039/пр от 30.12.2016г.</t>
  </si>
  <si>
    <t>30,1</t>
  </si>
  <si>
    <t>31</t>
  </si>
  <si>
    <t>м08-02-399-02</t>
  </si>
  <si>
    <t>Прокладка  кабеля в коробах, сечением до 35 мм2</t>
  </si>
  <si>
    <t>ФЕРм-2001, м08-02-399-02, приказ Минстроя России №1039/пр от 30.12.2016г.</t>
  </si>
  <si>
    <t>31,1</t>
  </si>
  <si>
    <t>32</t>
  </si>
  <si>
    <t>м10-08-019-01</t>
  </si>
  <si>
    <t>Коробка ответвительная на стене</t>
  </si>
  <si>
    <t>ШТ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</si>
  <si>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</si>
  <si>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</si>
  <si>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</si>
  <si>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32,1</t>
  </si>
  <si>
    <t>33</t>
  </si>
  <si>
    <t>м08-02-370-02</t>
  </si>
  <si>
    <t>Щиток до трех групп, устанавливаемый в нише цоколя</t>
  </si>
  <si>
    <t>ФЕРм-2001, м08-02-370-02, приказ Минстроя России №1039/пр от 30.12.2016г.</t>
  </si>
  <si>
    <t>33,1</t>
  </si>
  <si>
    <t>20.4.04.02-0021</t>
  </si>
  <si>
    <t>Щиты распределительные навесные ЩРН-9, размер корпуса 220х300х125 мм прим.</t>
  </si>
  <si>
    <t>шт.</t>
  </si>
  <si>
    <t>ФССЦ-2001, 20.4.04.02-0021, приказ Минстроя России №1039/пр от 30.12.2016г.</t>
  </si>
  <si>
    <t>33,2</t>
  </si>
  <si>
    <t>20.4.04.02-0023</t>
  </si>
  <si>
    <t>Щиты распределительные навесные ЩРН-18, размер корпуса 350х300х125 мм прим.</t>
  </si>
  <si>
    <t>ФССЦ-2001, 20.4.04.02-0023, приказ Минстроя России №1039/пр от 30.12.2016г.</t>
  </si>
  <si>
    <t>34</t>
  </si>
  <si>
    <t>м08-03-591-08</t>
  </si>
  <si>
    <t>Розетка штепсельная неутопленного типа при открытой проводке</t>
  </si>
  <si>
    <t>100 ШТ</t>
  </si>
  <si>
    <t>ФЕРм-2001, м08-03-591-08, приказ Минстроя России №1039/пр от 30.12.2016г.</t>
  </si>
  <si>
    <t>34,1</t>
  </si>
  <si>
    <t>20.4.03.05-0003</t>
  </si>
  <si>
    <t>Розетка открытой проводки двухгнездная с заземлением согласно тех. заданию</t>
  </si>
  <si>
    <t>100 шт.</t>
  </si>
  <si>
    <t>ФССЦ-2001, 20.4.03.05-0003, приказ Минстроя России №1039/пр от 30.12.2016г.</t>
  </si>
  <si>
    <t>35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</si>
  <si>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</si>
  <si>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</si>
  <si>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</si>
  <si>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35,1</t>
  </si>
  <si>
    <t>62.1.01.09-0006</t>
  </si>
  <si>
    <t>Выключатели автоматические «IEK» ВА47-29 1Р 25А</t>
  </si>
  <si>
    <t>ФССЦ-2001, 62.1.01.09-0006, приказ Минстроя России №1039/пр от 30.12.2016г.</t>
  </si>
  <si>
    <t>35,2</t>
  </si>
  <si>
    <t>62.1.01.09-0018</t>
  </si>
  <si>
    <t>Выключатели автоматические «IEK» ВА47-29 3Р 25А</t>
  </si>
  <si>
    <t>ФССЦ-2001, 62.1.01.09-0018, приказ Минстроя России №1039/пр от 30.12.2016г.</t>
  </si>
  <si>
    <t>36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</si>
  <si>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</si>
  <si>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</si>
  <si>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</si>
  <si>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36,1</t>
  </si>
  <si>
    <t>20.2.05.04-0025</t>
  </si>
  <si>
    <t>Кабель-канал (короб) "Электропласт" 25x16 мм</t>
  </si>
  <si>
    <t>ФССЦ-2001, 20.2.05.04-0025, приказ Минстроя России №1039/пр от 30.12.2016г.</t>
  </si>
  <si>
    <t>37</t>
  </si>
  <si>
    <t>м08-02-390-02</t>
  </si>
  <si>
    <t>Короба пластмассовые шириной до 63 мм</t>
  </si>
  <si>
    <t>ФЕРм-2001, м08-02-390-02, приказ Минстроя России №1039/пр от 30.12.2016г.</t>
  </si>
  <si>
    <t>37,1</t>
  </si>
  <si>
    <t>20.2.05.04-0030</t>
  </si>
  <si>
    <t>Кабель-канал (короб) "Электропласт" 60x40 мм</t>
  </si>
  <si>
    <t>ФССЦ-2001, 20.2.05.04-0030, приказ Минстроя России №1039/пр от 30.12.2016г.</t>
  </si>
  <si>
    <t>38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</si>
  <si>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</si>
  <si>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</si>
  <si>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</si>
  <si>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38,1</t>
  </si>
  <si>
    <t>20.2.12.03-0011</t>
  </si>
  <si>
    <t>Трубы гибкие гофрированные из ПВХ "DKC" диаметром 20 мм</t>
  </si>
  <si>
    <t>10 м</t>
  </si>
  <si>
    <t>ФССЦ-2001, 20.2.12.03-0011, приказ Минстроя России №1039/пр от 30.12.2016г.</t>
  </si>
  <si>
    <t>39</t>
  </si>
  <si>
    <t>м08-03-594-08</t>
  </si>
  <si>
    <t>Светильник отдельно устанавливаемый накладной</t>
  </si>
  <si>
    <t>ФЕРм-2001, м08-03-594-08, приказ Минстроя России №1039/пр от 30.12.2016г.</t>
  </si>
  <si>
    <t>39,1</t>
  </si>
  <si>
    <t>20.3.03.07-0094</t>
  </si>
  <si>
    <t>Светильник потолочный со светодиодными лампами соглано тех. заданию</t>
  </si>
  <si>
    <t>ФССЦ-2001, 20.3.03.07-0094, приказ Минстроя России №1039/пр от 30.12.2016г.</t>
  </si>
  <si>
    <t>40</t>
  </si>
  <si>
    <t>м08-03-591-05</t>
  </si>
  <si>
    <t>Выключатель двухклавишный утопленного типа при скрытой проводке</t>
  </si>
  <si>
    <t>ФЕРм-2001, м08-03-591-05, приказ Минстроя России №1039/пр от 30.12.2016г.</t>
  </si>
  <si>
    <t>40,1</t>
  </si>
  <si>
    <t>20.4.01.02-0011</t>
  </si>
  <si>
    <t>Выключатель двухклавишный для скрытой проводки серии "Прима", марка С56-039-с с подсветкой, цвет белый прим.</t>
  </si>
  <si>
    <t>ФССЦ-2001, 20.4.01.02-0011, приказ Минстроя России №1039/пр от 30.12.2016г.</t>
  </si>
  <si>
    <t>Пусконаладочные работы систем электроснабжения и электроосвещения</t>
  </si>
  <si>
    <t>41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</si>
  <si>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</si>
  <si>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</si>
  <si>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</si>
  <si>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</si>
  <si>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</si>
  <si>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</si>
  <si>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</si>
  <si>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</si>
  <si>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</si>
  <si>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42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</si>
  <si>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</si>
  <si>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</si>
  <si>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</si>
  <si>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</si>
  <si>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43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</si>
  <si>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</si>
  <si>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</si>
  <si>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</si>
  <si>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Система водоснабжения и канализации</t>
  </si>
  <si>
    <t>44</t>
  </si>
  <si>
    <t>65-3-7</t>
  </si>
  <si>
    <t>Снятие смесителя без душевой сетки</t>
  </si>
  <si>
    <t>ФЕРр-2001, 65-3-7, приказ Минстроя России №1039/пр от 30.12.2016г.</t>
  </si>
  <si>
    <t>Внтуренниие с/техработы:  демонтаж, разборка, промывка</t>
  </si>
  <si>
    <t>рФЕР-65</t>
  </si>
  <si>
    <t>45</t>
  </si>
  <si>
    <t>65-4-1</t>
  </si>
  <si>
    <t>Демонтаж умывальников и раковин</t>
  </si>
  <si>
    <t>ФЕРр-2001, 65-4-1, приказ Минстроя России №1039/пр от 30.12.2016г.</t>
  </si>
  <si>
    <t>46</t>
  </si>
  <si>
    <t>16-04-002-01</t>
  </si>
  <si>
    <t>Прокладка трубопроводов водоснабжения из напорных полиэтиленовых труб наружным диаметром до 20 мм</t>
  </si>
  <si>
    <t>ФЕР-2001, 16-04-002-01, приказ Минстроя России №1039/пр от 30.12.2016г.</t>
  </si>
  <si>
    <t>Трубопроводы внутренние</t>
  </si>
  <si>
    <t>ФЕР-16</t>
  </si>
  <si>
    <t>46,1</t>
  </si>
  <si>
    <t>18.1.09.06-0021</t>
  </si>
  <si>
    <t>Кран шаровой муфтовый 11Б27П1, диаметром 15 мм</t>
  </si>
  <si>
    <t>ФССЦ-2001, 18.1.09.06-0021, приказ Минстроя России №1039/пр от 30.12.2016г.</t>
  </si>
  <si>
    <t>46,2</t>
  </si>
  <si>
    <t>18.1.09.06-0022</t>
  </si>
  <si>
    <t>Кран шаровой муфтовый 11Б27П1, диаметром 20 мм</t>
  </si>
  <si>
    <t>ФССЦ-2001, 18.1.09.06-0022, приказ Минстроя России №1039/пр от 30.12.2016г.</t>
  </si>
  <si>
    <t>46,3</t>
  </si>
  <si>
    <t>24.3.02.01-0001</t>
  </si>
  <si>
    <t>Трубопроводы напорные из полипропилена PPRS с гильзами и креплениями для холодного и горячего водоснабжения PN10 SDR 11, диаметром 16 мм, толщина стенки 1,8 мм</t>
  </si>
  <si>
    <t>ФССЦ-2001, 24.3.02.01-0001, приказ Минстроя России №1039/пр от 30.12.2016г.</t>
  </si>
  <si>
    <t>46,4</t>
  </si>
  <si>
    <t>24.3.02.01-0002</t>
  </si>
  <si>
    <t>Трубопроводы напорные из полипропилена PPRS с гильзами и креплениями для холодного и горячего водоснабжения PN10 SDR 11, диаметром 20 мм, толщина стенки 1,9 мм</t>
  </si>
  <si>
    <t>ФССЦ-2001, 24.3.02.01-0002, приказ Минстроя России №1039/пр от 30.12.2016г.</t>
  </si>
  <si>
    <t>46,5</t>
  </si>
  <si>
    <t>24.3.03.15</t>
  </si>
  <si>
    <t>Трубы полиэтиленовые</t>
  </si>
  <si>
    <t>47</t>
  </si>
  <si>
    <t>18-06-001-01</t>
  </si>
  <si>
    <t>Установка гребенок водораспределительных из стальных труб наружным диаметром корпуса до 108 мм</t>
  </si>
  <si>
    <t>ФЕР-2001, 18-06-001-01, приказ Минстроя России №1039/пр от 30.12.2016г.</t>
  </si>
  <si>
    <t>Отопление - внутренние устройства</t>
  </si>
  <si>
    <t>ФЕР-18</t>
  </si>
  <si>
    <t>47,1</t>
  </si>
  <si>
    <t>23.8.04.02-0009</t>
  </si>
  <si>
    <t>Коллектор проходной с внутренней резьбой 1 1/4"х1/2" на 4 выхода прим.</t>
  </si>
  <si>
    <t>ФССЦ-2001, 23.8.04.02-0009, приказ Минстроя России №1039/пр от 30.12.2016г.</t>
  </si>
  <si>
    <t>48</t>
  </si>
  <si>
    <t>18-06-007-01</t>
  </si>
  <si>
    <t>Установка фильтров диаметром 25 мм</t>
  </si>
  <si>
    <t>10 ШТ</t>
  </si>
  <si>
    <t>ФЕР-2001, 18-06-007-01, приказ Минстроя России №1039/пр от 30.12.2016г.</t>
  </si>
  <si>
    <t>48,1</t>
  </si>
  <si>
    <t>18.2.08.05-0002</t>
  </si>
  <si>
    <t>Фильтр магнитный муфтовый ФММ-25</t>
  </si>
  <si>
    <t>ФССЦ-2001, 18.2.08.05-0002, приказ Минстроя России №1039/пр от 30.12.2016г.</t>
  </si>
  <si>
    <t>48,2</t>
  </si>
  <si>
    <t>18.2.08.10</t>
  </si>
  <si>
    <t>Фильтры для очистки воды</t>
  </si>
  <si>
    <t>49</t>
  </si>
  <si>
    <t>17-01-002-03</t>
  </si>
  <si>
    <t>Установка смесителей</t>
  </si>
  <si>
    <t>ФЕР-2001, 17-01-002-03, приказ Минстроя России №1039/пр от 30.12.2016г.</t>
  </si>
  <si>
    <t>)*1,2)*1,25</t>
  </si>
  <si>
    <t>)*1,2)*1,15</t>
  </si>
  <si>
    <t>Водопровод и канализация - внутренние устройства</t>
  </si>
  <si>
    <t>ФЕР-17</t>
  </si>
  <si>
    <t>Поправка: МДС 81-35.2004, прил.1, т.1, п.2  Поправка: МДС 81-35.2004, п.4.7</t>
  </si>
  <si>
    <t>49,1</t>
  </si>
  <si>
    <t>01.7.15.07-0009</t>
  </si>
  <si>
    <t>Дюбели пластмассовые с шурупами 8х60 мм</t>
  </si>
  <si>
    <t>ФССЦ-2001, 01.7.15.07-0009, приказ Минстроя России №1039/пр от 30.12.2016г.</t>
  </si>
  <si>
    <t>49,2</t>
  </si>
  <si>
    <t>18.1.10.10-0032</t>
  </si>
  <si>
    <t>Смесители для душевых установок СМ-Д-ШЛ с душевой сеткой на гибком шланге</t>
  </si>
  <si>
    <t>ФССЦ-2001, 18.1.10.10-0032, приказ Минстроя России №1039/пр от 30.12.2016г.</t>
  </si>
  <si>
    <t>49,3</t>
  </si>
  <si>
    <t>18.1.10.10-0072</t>
  </si>
  <si>
    <t>Смеситель латунный с гальванопокрытием для мойки настольный, с верхней камерой смешения</t>
  </si>
  <si>
    <t>ФССЦ-2001, 18.1.10.10-0072, приказ Минстроя России №1039/пр от 30.12.2016г.</t>
  </si>
  <si>
    <t>49,4</t>
  </si>
  <si>
    <t>18.1.10.10-0047</t>
  </si>
  <si>
    <t>Смесители для умывальников СМ-УМ-ЦА настольные, с верхней камерой смешения, центральные, с аэратором</t>
  </si>
  <si>
    <t>ФССЦ-2001, 18.1.10.10-0047, приказ Минстроя России №1039/пр от 30.12.2016г.</t>
  </si>
  <si>
    <t>49,5</t>
  </si>
  <si>
    <t>18.2.06.08-0016</t>
  </si>
  <si>
    <t>Подводка гибкая армированная резиновая 1000 мм</t>
  </si>
  <si>
    <t>ФССЦ-2001, 18.2.06.08-0016, приказ Минстроя России №1039/пр от 30.12.2016г.</t>
  </si>
  <si>
    <t>49,6</t>
  </si>
  <si>
    <t>01.7.15.07</t>
  </si>
  <si>
    <t>Дюбели распорные полиэтиленовые</t>
  </si>
  <si>
    <t>49,7</t>
  </si>
  <si>
    <t>18.1.10.10</t>
  </si>
  <si>
    <t>Смесители</t>
  </si>
  <si>
    <t>50</t>
  </si>
  <si>
    <t>м08-03-525-09</t>
  </si>
  <si>
    <t>Аппарат штепсельный общего назначения, устанавливаемый на конструкции на стене или колонне, с контактами силовых цепей на ток до 63 А (Водонагреватель электрический накопительный)</t>
  </si>
  <si>
    <t>КОМПЛ</t>
  </si>
  <si>
    <t>ФЕРм-2001, м08-03-525-09, приказ Минстроя России №1039/пр от 30.12.2016г.</t>
  </si>
  <si>
    <t>50,1</t>
  </si>
  <si>
    <t>63.1.01.06-0134</t>
  </si>
  <si>
    <t>Электроводонагреватели накопительные вертикального исполнения, объемом 130 л, мощностью 1,25 кВт, размерами 460х1320х440 мм</t>
  </si>
  <si>
    <t>ФССЦ-2001, 63.1.01.06-0134, приказ Минстроя России №1039/пр от 30.12.2016г.</t>
  </si>
  <si>
    <t>51</t>
  </si>
  <si>
    <t>17-01-005-04</t>
  </si>
  <si>
    <t>Установка раковин</t>
  </si>
  <si>
    <t>10 компл</t>
  </si>
  <si>
    <t>ФЕР-2001, 17-01-005-04, приказ Минстроя России №1039/пр от 30.12.2016г.</t>
  </si>
  <si>
    <t>51,1</t>
  </si>
  <si>
    <t>18.2.01.04-0020</t>
  </si>
  <si>
    <t>Раковины лабораторные полуфарфоровые и фарфоровые марка Р050Х040ФССБ20, размер 500х400х955 мм прим.</t>
  </si>
  <si>
    <t>ФССЦ-2001, 18.2.01.04-0020, приказ Минстроя России №1039/пр от 30.12.2016г.</t>
  </si>
  <si>
    <t>51,2</t>
  </si>
  <si>
    <t>51,3</t>
  </si>
  <si>
    <t>51,4</t>
  </si>
  <si>
    <t>01.7.15.14</t>
  </si>
  <si>
    <t>Шурупы строительные</t>
  </si>
  <si>
    <t>51,5</t>
  </si>
  <si>
    <t>18.2.06.12</t>
  </si>
  <si>
    <t>Приборы санитарно-технические</t>
  </si>
  <si>
    <t>52</t>
  </si>
  <si>
    <t>17-01-001-23</t>
  </si>
  <si>
    <t>Установка трапов диаметром 100 мм</t>
  </si>
  <si>
    <t>ФЕР-2001, 17-01-001-23, приказ Минстроя России №1039/пр от 30.12.2016г.</t>
  </si>
  <si>
    <t>52,1</t>
  </si>
  <si>
    <t>18.2.06.10-0001</t>
  </si>
  <si>
    <t>Трап канализационный  с горизонтальным выпуском  диам.100мм и решеткой из нержавеющей стали в подрамнике согласно тех.заданию.</t>
  </si>
  <si>
    <t>ФССЦ-2001, 18.2.06.10-0001, приказ Минстроя России №1039/пр от 30.12.2016г.</t>
  </si>
  <si>
    <t>52,2</t>
  </si>
  <si>
    <t>53</t>
  </si>
  <si>
    <t>17-01-003-01</t>
  </si>
  <si>
    <t>Установка унитазов с бачком непосредственно присоединенным</t>
  </si>
  <si>
    <t>ФЕР-2001, 17-01-003-01, приказ Минстроя России №1039/пр от 30.12.2016г.</t>
  </si>
  <si>
    <t>53,1</t>
  </si>
  <si>
    <t>53,2</t>
  </si>
  <si>
    <t>18.2.01.06-0001</t>
  </si>
  <si>
    <t>Унитаз-компакт «Комфорт»</t>
  </si>
  <si>
    <t>ФССЦ-2001, 18.2.01.06-0001, приказ Минстроя России №1039/пр от 30.12.2016г.</t>
  </si>
  <si>
    <t>53,3</t>
  </si>
  <si>
    <t>53,4</t>
  </si>
  <si>
    <t>53,5</t>
  </si>
  <si>
    <t>53,6</t>
  </si>
  <si>
    <t>Система вентиляции и кондиционирования</t>
  </si>
  <si>
    <t>54</t>
  </si>
  <si>
    <t>20-02-002-01</t>
  </si>
  <si>
    <t>Установка решеток жалюзийных площадью в свету до 0,5 м2</t>
  </si>
  <si>
    <t>ФЕР-2001, 20-02-002-01, приказ Минстроя России №1039/пр от 30.12.2016г.</t>
  </si>
  <si>
    <t>Вентиляция и кондиционирование</t>
  </si>
  <si>
    <t>ФЕР-20</t>
  </si>
  <si>
    <t>54,1</t>
  </si>
  <si>
    <t>19.2.03.03-0033</t>
  </si>
  <si>
    <t>Решетки вентиляционные , размером 300х300 мм согласно тех.заданию</t>
  </si>
  <si>
    <t>ФССЦ-2001, 19.2.03.03-0033, приказ Минстроя России №1039/пр от 30.12.2016г.</t>
  </si>
  <si>
    <t>54,2</t>
  </si>
  <si>
    <t>19.2.03.09</t>
  </si>
  <si>
    <t>Решетки жалюзийные</t>
  </si>
  <si>
    <t>55</t>
  </si>
  <si>
    <t>20-03-001-02</t>
  </si>
  <si>
    <t>Установка вентиляторов радиальных массой до 0,12 т</t>
  </si>
  <si>
    <t>ФЕР-2001, 20-03-001-02, приказ Минстроя России №1039/пр от 30.12.2016г.</t>
  </si>
  <si>
    <t>55,1</t>
  </si>
  <si>
    <t>64.1.05.09-0031</t>
  </si>
  <si>
    <t>Вентиляторы радиальные низкого давления из углеродистой стали, марка ВР 80-75-3.15, тип электродвигателя АИР80В2</t>
  </si>
  <si>
    <t>ФССЦ-2001, 64.1.05.09-0031, приказ Минстроя России №1039/пр от 30.12.2016г.</t>
  </si>
  <si>
    <t>55,2</t>
  </si>
  <si>
    <t>01.7.15.03-0001</t>
  </si>
  <si>
    <t>Болты анкерные из прямых или гнутых круглых стержней с резьбой, с гайками и шайбами</t>
  </si>
  <si>
    <t>ФССЦ-2001, 01.7.15.03-0001, приказ Минстроя России №1039/пр от 30.12.2016г.</t>
  </si>
  <si>
    <t>55,3</t>
  </si>
  <si>
    <t>01.7.15.02</t>
  </si>
  <si>
    <t>Болты анкерные</t>
  </si>
  <si>
    <t>Система отопления</t>
  </si>
  <si>
    <t>56</t>
  </si>
  <si>
    <t>65-19-2</t>
  </si>
  <si>
    <t>Демонтаж радиаторов весом до 160 кг</t>
  </si>
  <si>
    <t>ФЕРр-2001, 65-19-2, приказ Минстроя России №1039/пр от 30.12.2016г.</t>
  </si>
  <si>
    <t>57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</si>
  <si>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</si>
  <si>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</si>
  <si>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</si>
  <si>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*0</t>
  </si>
  <si>
    <t>58</t>
  </si>
  <si>
    <t>18-03-001-01</t>
  </si>
  <si>
    <t>Установка радиаторов чугунных</t>
  </si>
  <si>
    <t>100 квт</t>
  </si>
  <si>
    <t>ФЕР-2001, 18-03-001-01, приказ Минстроя России №1039/пр от 30.12.2016г.</t>
  </si>
  <si>
    <t>58,1</t>
  </si>
  <si>
    <t>18.5.10.07-0008</t>
  </si>
  <si>
    <t>Радиаторы отопительные чугунные марка МС-140, высота полная 588 мм, высота монтажная 500 мм</t>
  </si>
  <si>
    <t>квт</t>
  </si>
  <si>
    <t>ФССЦ-2001, 18.5.10.07-0008, приказ Минстроя России №1039/пр от 30.12.2016г.</t>
  </si>
  <si>
    <t>58,2</t>
  </si>
  <si>
    <t>18.5.10.06</t>
  </si>
  <si>
    <t>Радиаторы</t>
  </si>
  <si>
    <t>59</t>
  </si>
  <si>
    <t>16-03-002-02</t>
  </si>
  <si>
    <t>Прокладка трубопроводов водоснабжения из многослойных металлополимерных труб диаметром 20 мм</t>
  </si>
  <si>
    <t>ФЕР-2001, 16-03-002-02, приказ Минстроя России №1039/пр от 30.12.2016г.</t>
  </si>
  <si>
    <t>59,1</t>
  </si>
  <si>
    <t>24.1.02.01-0013</t>
  </si>
  <si>
    <t>Хомут FRS системы крепежа трубопроводов, размером 20-24 мм</t>
  </si>
  <si>
    <t>ФССЦ-2001, 24.1.02.01-0013, приказ Минстроя России №1039/пр от 30.12.2016г.</t>
  </si>
  <si>
    <t>59,2</t>
  </si>
  <si>
    <t>Трубопроводы напорные из  с гильзами и креплениями для холодного и горячего водоснабжения PN10 SDR 11, диаметром 20 мм, толщина стенки 1,9 мм</t>
  </si>
  <si>
    <t>59,3</t>
  </si>
  <si>
    <t>24.2.02.01</t>
  </si>
  <si>
    <t>Трубы металлополимерные многослойные</t>
  </si>
  <si>
    <t>60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</si>
  <si>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</si>
  <si>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</si>
  <si>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</si>
  <si>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</si>
  <si>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</si>
  <si>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</si>
  <si>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</si>
  <si>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61</t>
  </si>
  <si>
    <t>т03-01-02-005</t>
  </si>
  <si>
    <t>Перевозка грузов II класса автомобилями бортовыми грузоподъемностью до 15 т на расстояние до 5 км</t>
  </si>
  <si>
    <t>ФССЦпг-2001, т03-01-02-005,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</si>
  <si>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</si>
  <si>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</si>
  <si>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</si>
  <si>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</si>
  <si>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</si>
  <si>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</si>
  <si>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</si>
  <si>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</si>
  <si>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</si>
  <si>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</si>
  <si>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</si>
  <si>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</si>
  <si>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</si>
  <si>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</si>
  <si>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</si>
  <si>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</si>
  <si>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</si>
  <si>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</si>
  <si>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</si>
  <si>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</si>
  <si>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</si>
  <si>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</si>
  <si>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</si>
  <si>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</si>
  <si>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</si>
  <si>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</si>
  <si>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</si>
  <si>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</si>
  <si>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</si>
  <si>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</si>
  <si>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</si>
  <si>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</si>
  <si>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</si>
  <si>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</si>
  <si>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</si>
  <si>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</si>
  <si>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</si>
  <si>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</si>
  <si>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</si>
  <si>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</si>
  <si>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</si>
  <si>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</si>
  <si>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</si>
  <si>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</si>
  <si>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</si>
  <si>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</si>
  <si>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</si>
  <si>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</si>
  <si>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</si>
  <si>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</si>
  <si>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</si>
  <si>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</si>
  <si>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</si>
  <si>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</si>
  <si>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</si>
  <si>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</si>
  <si>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</si>
  <si>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</si>
  <si>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</si>
  <si>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</si>
  <si>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</si>
  <si>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</si>
  <si>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</si>
  <si>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</si>
  <si>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</si>
  <si>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</si>
  <si>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</si>
  <si>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</si>
  <si>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</si>
  <si>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</si>
  <si>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</si>
  <si>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</si>
  <si>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1-100-21</t>
  </si>
  <si>
    <t>Рабочий среднего разряда 2.1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</si>
  <si>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</si>
  <si>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</si>
  <si>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</si>
  <si>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</si>
  <si>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</si>
  <si>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</si>
  <si>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</si>
  <si>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</si>
  <si>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</si>
  <si>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</si>
  <si>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</si>
  <si>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</si>
  <si>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</si>
  <si>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1-100-33</t>
  </si>
  <si>
    <t>Рабочий среднего разряда 3.3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</si>
  <si>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</si>
  <si>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</si>
  <si>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</si>
  <si>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</si>
  <si>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</si>
  <si>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</si>
  <si>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</si>
  <si>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</si>
  <si>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</si>
  <si>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1-100-38</t>
  </si>
  <si>
    <t>Рабочий среднего разряда 3.8</t>
  </si>
  <si>
    <t>91.05.02-005</t>
  </si>
  <si>
    <t>ФСЭМ-2001, 91.05.02-005, приказ Минстроя России №1039/пр от 30.12.2016г.</t>
  </si>
  <si>
    <t>Краны козловые, грузоподъемность 32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</si>
  <si>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</si>
  <si>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</si>
  <si>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</si>
  <si>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</si>
  <si>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</si>
  <si>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</si>
  <si>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</si>
  <si>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</si>
  <si>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</si>
  <si>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</si>
  <si>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</si>
  <si>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</si>
  <si>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</si>
  <si>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</si>
  <si>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</si>
  <si>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</si>
  <si>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</si>
  <si>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</si>
  <si>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</si>
  <si>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</si>
  <si>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</si>
  <si>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</si>
  <si>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</si>
  <si>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</si>
  <si>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</si>
  <si>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</si>
  <si>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</si>
  <si>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</si>
  <si>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</si>
  <si>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</si>
  <si>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</si>
  <si>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</si>
  <si>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</si>
  <si>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</si>
  <si>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</si>
  <si>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</si>
  <si>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</si>
  <si>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</si>
  <si>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</si>
  <si>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</si>
  <si>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</si>
  <si>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</si>
  <si>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</si>
  <si>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</si>
  <si>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</si>
  <si>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</si>
  <si>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</si>
  <si>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</si>
  <si>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1-100-24</t>
  </si>
  <si>
    <t>Рабочий среднего разряда 2.4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</si>
  <si>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</si>
  <si>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</si>
  <si>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</si>
  <si>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</si>
  <si>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</si>
  <si>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</si>
  <si>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</si>
  <si>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</si>
  <si>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</si>
  <si>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</si>
  <si>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</si>
  <si>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</si>
  <si>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</si>
  <si>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</si>
  <si>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</si>
  <si>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</si>
  <si>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</si>
  <si>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</si>
  <si>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</si>
  <si>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</si>
  <si>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1-100-30</t>
  </si>
  <si>
    <t>Рабочий среднего разряда 3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</si>
  <si>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</si>
  <si>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</si>
  <si>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</si>
  <si>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</si>
  <si>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</si>
  <si>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</si>
  <si>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</si>
  <si>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</si>
  <si>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</si>
  <si>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</si>
  <si>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</si>
  <si>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</si>
  <si>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1-100-25</t>
  </si>
  <si>
    <t>Рабочий среднего разряда 2.5</t>
  </si>
  <si>
    <t>1-100-35</t>
  </si>
  <si>
    <t>Рабочий среднего разряда 3.5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</si>
  <si>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</si>
  <si>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</si>
  <si>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</si>
  <si>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</si>
  <si>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</si>
  <si>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</si>
  <si>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01.7.15.04-0058</t>
  </si>
  <si>
    <t>ФССЦ-2001, 01.7.15.04-0058, приказ Минстроя России №1039/пр от 30.12.2016г.</t>
  </si>
  <si>
    <t>Винты самонарезающие СМ1-35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</si>
  <si>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</si>
  <si>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</si>
  <si>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</si>
  <si>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01.7.19.04-0001</t>
  </si>
  <si>
    <t>ФССЦ-2001, 01.7.19.04-0001, приказ Минстроя России №1039/пр от 30.12.2016г.</t>
  </si>
  <si>
    <t>Пластина губчатая из резины АФ-1</t>
  </si>
  <si>
    <t>01.7.20.08-0102</t>
  </si>
  <si>
    <t>ФССЦ-2001, 01.7.20.08-0102, приказ Минстроя России №1039/пр от 30.12.2016г.</t>
  </si>
  <si>
    <t>Миткаль «Т-2» суровый (суровье)</t>
  </si>
  <si>
    <t>03.1.01.01-0002</t>
  </si>
  <si>
    <t>ФССЦ-2001, 03.1.01.01-0002, приказ Минстроя России №1039/пр от 30.12.2016г.</t>
  </si>
  <si>
    <t>Гипсовые вяжущие, марка Г3</t>
  </si>
  <si>
    <t>08.3.09.05-0041</t>
  </si>
  <si>
    <t>ФССЦ-2001, 08.3.09.05-0041, приказ Минстроя России №1039/пр от 30.12.2016г.</t>
  </si>
  <si>
    <t>Профили холодногнутые из оцинкованной стали толщиной 0,5-0,55 мм, сумма размеров равная ширине исходной заготовки 101-150 мм</t>
  </si>
  <si>
    <t>08.3.09.05-0042</t>
  </si>
  <si>
    <t>ФССЦ-2001, 08.3.09.05-0042, приказ Минстроя России №1039/пр от 30.12.2016г.</t>
  </si>
  <si>
    <t>Профили холодногнутые из оцинкованной стали толщиной 0,5-0,55 мм, сумма размеров равная ширине исходной заготовки 151-200 мм</t>
  </si>
  <si>
    <t>14.1.03.02-0201</t>
  </si>
  <si>
    <t>ФССЦ-2001, 14.1.03.02-0201, приказ Минстроя России №1039/пр от 30.12.2016г.</t>
  </si>
  <si>
    <t>Клей малярный жидкий</t>
  </si>
  <si>
    <t>14.1.04.02-0011</t>
  </si>
  <si>
    <t>ФССЦ-2001, 14.1.04.02-0011, приказ Минстроя России №1039/пр от 30.12.2016г.</t>
  </si>
  <si>
    <t>Клей резиновый № 88-Н</t>
  </si>
  <si>
    <t>14.5.04.03-0001</t>
  </si>
  <si>
    <t>ФССЦ-2001, 14.5.04.03-0001, приказ Минстроя России №1039/пр от 30.12.2016г.</t>
  </si>
  <si>
    <t>Мастика герметизирующая нетвердеющая «Бутэпрол-2М»</t>
  </si>
  <si>
    <t>1-100-36</t>
  </si>
  <si>
    <t>Рабочий среднего разряда 3.6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</si>
  <si>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</si>
  <si>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</si>
  <si>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</si>
  <si>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01.7.03.01-0001</t>
  </si>
  <si>
    <t>ФССЦ-2001, 01.7.03.01-0001, приказ Минстроя России №1039/пр от 30.12.2016г.</t>
  </si>
  <si>
    <t>Вода</t>
  </si>
  <si>
    <t>01.7.07.29-0091</t>
  </si>
  <si>
    <t>ФССЦ-2001, 01.7.07.29-0091, приказ Минстроя России №1039/пр от 30.12.2016г.</t>
  </si>
  <si>
    <t>Опилки древесные</t>
  </si>
  <si>
    <t>01.7.20.08-0051</t>
  </si>
  <si>
    <t>ФССЦ-2001, 01.7.20.08-0051, приказ Минстроя России №1039/пр от 30.12.2016г.</t>
  </si>
  <si>
    <t>Ветошь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</si>
  <si>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</si>
  <si>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</si>
  <si>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</si>
  <si>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</si>
  <si>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</si>
  <si>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</si>
  <si>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1-100-51</t>
  </si>
  <si>
    <t>Рабочий среднего разряда 5.1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</si>
  <si>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</si>
  <si>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</si>
  <si>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</si>
  <si>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</si>
  <si>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</si>
  <si>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</si>
  <si>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</si>
  <si>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</si>
  <si>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</si>
  <si>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</si>
  <si>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</si>
  <si>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</si>
  <si>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</si>
  <si>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</si>
  <si>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</si>
  <si>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</si>
  <si>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</si>
  <si>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</si>
  <si>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</si>
  <si>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</si>
  <si>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</si>
  <si>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1-100-40</t>
  </si>
  <si>
    <t>Рабочий среднего разряда 4</t>
  </si>
  <si>
    <t>1-100-20</t>
  </si>
  <si>
    <t>Рабочий среднего разряда 2</t>
  </si>
  <si>
    <t>91.07.04-002</t>
  </si>
  <si>
    <t>ФСЭМ-2001, 91.07.04-002, приказ Минстроя России №1039/пр от 30.12.2016г.</t>
  </si>
  <si>
    <t>Вибратор поверхностный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</si>
  <si>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</si>
  <si>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</si>
  <si>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</si>
  <si>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</si>
  <si>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</si>
  <si>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</si>
  <si>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06.2.02.01-0071</t>
  </si>
  <si>
    <t>ФССЦ-2001, 06.2.02.01-0071, приказ Минстроя России №1039/пр от 30.12.2016г.</t>
  </si>
  <si>
    <t>Плитки керамические для полов гладкие неглазурованные одноцветные с красителем квадратные и прямоугольные</t>
  </si>
  <si>
    <t>14.1.06.02-0037</t>
  </si>
  <si>
    <t>ФССЦ-2001, 14.1.06.02-0037, приказ Минстроя России №1039/пр от 30.12.2016г.</t>
  </si>
  <si>
    <t>Клей плиточный «Старатель-стандарт»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</si>
  <si>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</si>
  <si>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</si>
  <si>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</si>
  <si>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</si>
  <si>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</si>
  <si>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</si>
  <si>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</si>
  <si>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</si>
  <si>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</si>
  <si>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</si>
  <si>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</si>
  <si>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</si>
  <si>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</si>
  <si>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</si>
  <si>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</si>
  <si>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</si>
  <si>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</si>
  <si>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</si>
  <si>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14.5.06.03-0002</t>
  </si>
  <si>
    <t>ФССЦ-2001, 14.5.06.03-0002, приказ Минстроя России №1039/пр от 30.12.2016г.</t>
  </si>
  <si>
    <t>Паста антисептическая</t>
  </si>
  <si>
    <t>11.1.01.11-0002</t>
  </si>
  <si>
    <t>ФССЦ-2001, 11.1.01.11-0002, приказ Минстроя России №1039/пр от 30.12.2016г.</t>
  </si>
  <si>
    <t>Нащельник размером 40x13 мм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</si>
  <si>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</si>
  <si>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</si>
  <si>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</si>
  <si>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</si>
  <si>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</si>
  <si>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</si>
  <si>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</si>
  <si>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</si>
  <si>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</si>
  <si>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</si>
  <si>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</si>
  <si>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14.5.11.01-0001</t>
  </si>
  <si>
    <t>ФССЦ-2001, 14.5.11.01-0001, приказ Минстроя России №1039/пр от 30.12.2016г.</t>
  </si>
  <si>
    <t>Шпатлевка клеевая</t>
  </si>
  <si>
    <t>1-100-27</t>
  </si>
  <si>
    <t>Рабочий среднего разряда 2.7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</si>
  <si>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</si>
  <si>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</si>
  <si>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</si>
  <si>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91.05.01-001</t>
  </si>
  <si>
    <t>ФСЭМ-2001, 91.05.01-001, приказ Минстроя России №1039/пр от 30.12.2016г.</t>
  </si>
  <si>
    <t>Кран башенный импортного производства, грузоподъемность 10-12 т</t>
  </si>
  <si>
    <t>11.1.01.09-0002</t>
  </si>
  <si>
    <t>ФССЦ-2001, 11.1.01.09-0002, приказ Минстроя России №1039/пр от 30.12.2016г.</t>
  </si>
  <si>
    <t>Лаги половые антисептированные, применяемые в строительстве жилых, общественных и производственных зданий при производстве деревянных полов тип II, сечением 100х40; 100х60; 120х60; 100-150х40-60 мм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</si>
  <si>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</si>
  <si>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</si>
  <si>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</si>
  <si>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91.21.07-001</t>
  </si>
  <si>
    <t>ФСЭМ-2001, 91.21.07-001, приказ Минстроя России №1039/пр от 30.12.2016г.</t>
  </si>
  <si>
    <t>Машина для острожки деревянных полов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</si>
  <si>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</si>
  <si>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</si>
  <si>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</si>
  <si>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11.2.11.04-0052</t>
  </si>
  <si>
    <t>ФССЦ-2001, 11.2.11.04-0052, приказ Минстроя России №1039/пр от 30.12.2016г.</t>
  </si>
  <si>
    <t>Фанера общего назначения из шпона лиственных пород водостойкая марки ФК, сорт 2/4, толщина 12 мм</t>
  </si>
  <si>
    <t>91.05.05-015</t>
  </si>
  <si>
    <t>ФСЭМ-2001, 91.05.05-015, приказ Минстроя России №1039/пр от 30.12.2016г.</t>
  </si>
  <si>
    <t>Краны на автомобильном ходу, грузоподъемность 16 т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</si>
  <si>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</si>
  <si>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</si>
  <si>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</si>
  <si>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</si>
  <si>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</si>
  <si>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</si>
  <si>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</si>
  <si>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</si>
  <si>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</si>
  <si>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</si>
  <si>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</si>
  <si>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</si>
  <si>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</si>
  <si>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</si>
  <si>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</si>
  <si>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</si>
  <si>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</si>
  <si>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</si>
  <si>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</si>
  <si>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</si>
  <si>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</si>
  <si>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</si>
  <si>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</si>
  <si>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</si>
  <si>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999-9950</t>
  </si>
  <si>
    <t>Вспомогательные ненормируемые материалы (2% от ОЗП)</t>
  </si>
  <si>
    <t>РУБ</t>
  </si>
  <si>
    <t>20.2.01.05-0007</t>
  </si>
  <si>
    <t>ФССЦ-2001, 20.2.01.05-0007, приказ Минстроя России №1039/пр от 30.12.2016г.</t>
  </si>
  <si>
    <t>Гильза кабельная медная ГМ 35</t>
  </si>
  <si>
    <t>20.2.02.01-0014</t>
  </si>
  <si>
    <t>ФССЦ-2001, 20.2.02.01-0014, приказ Минстроя России №1039/пр от 30.12.2016г.</t>
  </si>
  <si>
    <t>Втулки В42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</si>
  <si>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</si>
  <si>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</si>
  <si>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</si>
  <si>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01.7.06.07-0001</t>
  </si>
  <si>
    <t>ФССЦ-2001, 01.7.06.07-0001, приказ Минстроя России №1039/пр от 30.12.2016г.</t>
  </si>
  <si>
    <t>Лента К226</t>
  </si>
  <si>
    <t>1-100-41</t>
  </si>
  <si>
    <t>Рабочий среднего разряда 4.1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</si>
  <si>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</si>
  <si>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</si>
  <si>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</si>
  <si>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</si>
  <si>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</si>
  <si>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</si>
  <si>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1-100-46</t>
  </si>
  <si>
    <t>Рабочий среднего разряда 4.6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</si>
  <si>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</si>
  <si>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</si>
  <si>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</si>
  <si>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</si>
  <si>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</si>
  <si>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1-100-42</t>
  </si>
  <si>
    <t>Рабочий среднего разряда 4.2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</si>
  <si>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</si>
  <si>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</si>
  <si>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</si>
  <si>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</si>
  <si>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</si>
  <si>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</si>
  <si>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1-100-39</t>
  </si>
  <si>
    <t>Рабочий среднего разряда 3.9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</si>
  <si>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</si>
  <si>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</si>
  <si>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</si>
  <si>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</si>
  <si>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</si>
  <si>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</si>
  <si>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</si>
  <si>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</si>
  <si>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</si>
  <si>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</si>
  <si>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</si>
  <si>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</si>
  <si>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</si>
  <si>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</si>
  <si>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</si>
  <si>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</si>
  <si>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</si>
  <si>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</si>
  <si>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</si>
  <si>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</si>
  <si>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</si>
  <si>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</si>
  <si>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</si>
  <si>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</si>
  <si>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</si>
  <si>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</si>
  <si>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</si>
  <si>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01.7.15.07-0152</t>
  </si>
  <si>
    <t>ФССЦ-2001, 01.7.15.07-0152, приказ Минстроя России №1039/пр от 30.12.2016г.</t>
  </si>
  <si>
    <t>Дюбель с шурупом 6/35 мм</t>
  </si>
  <si>
    <t>24.3.01.01-0002</t>
  </si>
  <si>
    <t>ФССЦ-2001, 24.3.01.01-0002, приказ Минстроя России №1039/пр от 30.12.2016г.</t>
  </si>
  <si>
    <t>Трубка полихлорвиниловая</t>
  </si>
  <si>
    <t>20.2.02.01-0019</t>
  </si>
  <si>
    <t>ФССЦ-2001, 20.2.02.01-0019, приказ Минстроя России №1039/пр от 30.12.2016г.</t>
  </si>
  <si>
    <t>Втулки изолирующие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</si>
  <si>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</si>
  <si>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</si>
  <si>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</si>
  <si>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</si>
  <si>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</si>
  <si>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</si>
  <si>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</si>
  <si>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</si>
  <si>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</si>
  <si>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</si>
  <si>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</si>
  <si>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</si>
  <si>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</si>
  <si>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14.1.04.02-0002</t>
  </si>
  <si>
    <t>ФССЦ-2001, 14.1.04.02-0002, приказ Минстроя России №1039/пр от 30.12.2016г.</t>
  </si>
  <si>
    <t>Клей 88-СА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</si>
  <si>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</si>
  <si>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</si>
  <si>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</si>
  <si>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</si>
  <si>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</si>
  <si>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</si>
  <si>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</si>
  <si>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</si>
  <si>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</si>
  <si>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</si>
  <si>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</si>
  <si>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</si>
  <si>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</si>
  <si>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</si>
  <si>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</si>
  <si>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1-100-45</t>
  </si>
  <si>
    <t>Рабочий среднего разряда 4.5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</si>
  <si>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</si>
  <si>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</si>
  <si>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</si>
  <si>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01.7.07.29-0031</t>
  </si>
  <si>
    <t>ФССЦ-2001, 01.7.07.29-0031, приказ Минстроя России №1039/пр от 30.12.2016г.</t>
  </si>
  <si>
    <t>Каболка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</si>
  <si>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</si>
  <si>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</si>
  <si>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</si>
  <si>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</si>
  <si>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</si>
  <si>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</si>
  <si>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</si>
  <si>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</si>
  <si>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</si>
  <si>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</si>
  <si>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</si>
  <si>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</si>
  <si>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1-100-34</t>
  </si>
  <si>
    <t>Рабочий среднего разряда 3.4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</si>
  <si>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</si>
  <si>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</si>
  <si>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</si>
  <si>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</si>
  <si>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</si>
  <si>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</si>
  <si>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01.7.15.07-0063</t>
  </si>
  <si>
    <t>ФССЦ-2001, 01.7.15.07-0063, приказ Минстроя России №1039/пр от 30.12.2016г.</t>
  </si>
  <si>
    <t>Дюбели с калиброванной головкой (россыпью) 3х68,5 мм</t>
  </si>
  <si>
    <t>18.5.08.05-0022</t>
  </si>
  <si>
    <t>ФССЦ-2001, 18.5.08.05-0022, приказ Минстроя России №1039/пр от 30.12.2016г.</t>
  </si>
  <si>
    <t>Кронштейны для крепления радиаторов к кирпичным и бетонным стенам, при длине кронштейна 131 мм</t>
  </si>
  <si>
    <t>18.5.08.05-0023</t>
  </si>
  <si>
    <t>ФССЦ-2001, 18.5.08.05-0023, приказ Минстроя России №1039/пр от 30.12.2016г.</t>
  </si>
  <si>
    <t>Кронштейны для крепления радиаторов к кирпичным и бетонным стенам, при длине кронштейна 325 мм</t>
  </si>
  <si>
    <t>07.2.07.13</t>
  </si>
  <si>
    <t>Конструкции стальные</t>
  </si>
  <si>
    <t>14.4.01.21</t>
  </si>
  <si>
    <t>Грунтовка</t>
  </si>
  <si>
    <t>08.4.01.02</t>
  </si>
  <si>
    <t>Детали закладные и накладные</t>
  </si>
  <si>
    <t>11.1.01.04</t>
  </si>
  <si>
    <t>Доски для покрытия полов со шпунтом и гребнем из древесины антисептированные</t>
  </si>
  <si>
    <t>01.7.07.07</t>
  </si>
  <si>
    <t>Строительный мусор и масса возвратных материалов</t>
  </si>
  <si>
    <t>08.1.02.25</t>
  </si>
  <si>
    <t>Наконечники</t>
  </si>
  <si>
    <t>18.1.01.01</t>
  </si>
  <si>
    <t>Арматура муфтовая</t>
  </si>
  <si>
    <t>19.1.01.11</t>
  </si>
  <si>
    <t>Крепления</t>
  </si>
  <si>
    <t>24.3.05.19</t>
  </si>
  <si>
    <t>Фасонные и соединительные части к полиэтиленовым трубам</t>
  </si>
  <si>
    <t>18.5.04.01</t>
  </si>
  <si>
    <t>Гребенки паро-водораспределительные из стальных труб с ответными фланцами, болтами, прокладками, кронштейнами</t>
  </si>
  <si>
    <t>14.5.02.02</t>
  </si>
  <si>
    <t>Замазка суриковая</t>
  </si>
  <si>
    <t>04.3.01.09</t>
  </si>
  <si>
    <t>Раствор цементный</t>
  </si>
  <si>
    <t>Арматура запорная к многослойным металлополимерным трубам</t>
  </si>
  <si>
    <t>18.5.08.13</t>
  </si>
  <si>
    <t>Трубки защитные гофрированные</t>
  </si>
  <si>
    <t>24.2.06.01</t>
  </si>
  <si>
    <t>Фасонные и соединительные части к многослойным металлополимерным трубам</t>
  </si>
  <si>
    <t>Поправка: МДС 81-36.2004, п.3.3.1.д  Наименование: При демонтаже металлических конструкций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</si>
  <si>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п.1  Наименование: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</si>
  <si>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</si>
  <si>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</si>
  <si>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</si>
  <si>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</si>
  <si>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</si>
  <si>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</si>
  <si>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</si>
  <si>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</si>
  <si>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</si>
  <si>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</si>
  <si>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</si>
  <si>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</si>
  <si>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</si>
  <si>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</si>
  <si>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</si>
  <si>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</si>
  <si>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</si>
  <si>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</si>
  <si>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</si>
  <si>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</si>
  <si>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</si>
  <si>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</si>
  <si>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</si>
  <si>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</si>
  <si>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</si>
  <si>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</si>
  <si>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</si>
  <si>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</si>
  <si>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</si>
  <si>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</si>
  <si>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</si>
  <si>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</si>
  <si>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</si>
  <si>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</si>
  <si>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</si>
  <si>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</si>
  <si>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*2,5</t>
  </si>
  <si>
    <t xml:space="preserve"> СМЕТА </t>
  </si>
  <si>
    <t>Приложение №1 к форме 7</t>
  </si>
  <si>
    <t>Капитальный ремонт помещений  лаборатории кавитационных исследований  №20-№22, №25-№29 первого этажа  и помещений  №1-№3   второго этажа  здания Озерского технологического института -филиала НИЯУ МИФИ (ОТИ НИЯУ МИФИ) по адресу:  Челябинская область, г. Озерск, пр-т Победы, д.48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</si>
</sst>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2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8"/>
  <sheetViews>
    <sheetView tabSelected="1" zoomScaleNormal="100" workbookViewId="0">
      <selection activeCell="AM9" sqref="AM9"/>
    </sheetView>
  </sheetViews>
  <sheetFormatPr defaultRowHeight="12.75" x14ac:dyDescent="0.2"/>
  <cols>
    <col min="1" max="1" width="5.7109375" customWidth="1"/>
    <col min="2" max="2" width="19.85546875" customWidth="1"/>
    <col min="3" max="3" width="40.7109375" customWidth="1"/>
    <col min="4" max="5" width="10.7109375" customWidth="1"/>
    <col min="6" max="7" width="12.7109375" customWidth="1"/>
    <col min="8" max="8" width="15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9" t="str">
        <f>Source!B1</f>
        <v>Smeta.RU  (495) 974-1589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16.5" x14ac:dyDescent="0.25">
      <c r="A3" s="12"/>
      <c r="B3" s="49"/>
      <c r="C3" s="49"/>
      <c r="D3" s="49"/>
      <c r="E3" s="49"/>
      <c r="F3" s="11"/>
      <c r="G3" s="11"/>
      <c r="H3" s="49"/>
      <c r="I3" s="49"/>
      <c r="J3" s="49"/>
      <c r="K3" s="49"/>
      <c r="L3" s="49"/>
    </row>
    <row r="4" spans="1:30" ht="14.25" x14ac:dyDescent="0.2">
      <c r="A4" s="11"/>
      <c r="B4" s="50"/>
      <c r="C4" s="50"/>
      <c r="D4" s="50"/>
      <c r="E4" s="50"/>
      <c r="F4" s="11"/>
      <c r="G4" s="11"/>
      <c r="H4" s="50" t="s">
        <v>1312</v>
      </c>
      <c r="I4" s="50"/>
      <c r="J4" s="50"/>
      <c r="K4" s="50"/>
      <c r="L4" s="50"/>
    </row>
    <row r="5" spans="1:30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30" ht="15.75" x14ac:dyDescent="0.25">
      <c r="A6" s="16"/>
      <c r="B6" s="55" t="s">
        <v>1311</v>
      </c>
      <c r="C6" s="55"/>
      <c r="D6" s="55"/>
      <c r="E6" s="55"/>
      <c r="F6" s="55"/>
      <c r="G6" s="55"/>
      <c r="H6" s="55"/>
      <c r="I6" s="55"/>
      <c r="J6" s="55"/>
      <c r="K6" s="55"/>
      <c r="L6" s="16"/>
    </row>
    <row r="7" spans="1:30" ht="18" hidden="1" x14ac:dyDescent="0.25">
      <c r="A7" s="16"/>
      <c r="B7" s="56" t="str">
        <f>IF(Source!G20&lt;&gt;"Новая локальная смета", Source!G20, "")</f>
        <v/>
      </c>
      <c r="C7" s="56"/>
      <c r="D7" s="56"/>
      <c r="E7" s="56"/>
      <c r="F7" s="56"/>
      <c r="G7" s="56"/>
      <c r="H7" s="56"/>
      <c r="I7" s="56"/>
      <c r="J7" s="56"/>
      <c r="K7" s="56"/>
      <c r="L7" s="16"/>
    </row>
    <row r="8" spans="1:30" ht="14.25" hidden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30" ht="75.75" customHeight="1" x14ac:dyDescent="0.25">
      <c r="A9" s="11"/>
      <c r="B9" s="56" t="s">
        <v>1313</v>
      </c>
      <c r="C9" s="56"/>
      <c r="D9" s="56"/>
      <c r="E9" s="56"/>
      <c r="F9" s="56"/>
      <c r="G9" s="56"/>
      <c r="H9" s="56"/>
      <c r="I9" s="56"/>
      <c r="J9" s="56"/>
      <c r="K9" s="56"/>
      <c r="L9" s="17"/>
      <c r="AD9" s="47" t="str">
        <f>IF(Source!G12&lt;&gt;"Новый объект", Source!G12, "")</f>
        <v>на капитальный ремонт помещения первого этажа №20,21,22,25,26,27,28,29 и второго этажа №1,2.3 по адресу: г.Озёрск,Челябинская область,здание ОТИ НИЯУ МИФИ,ул.Победы,48</v>
      </c>
    </row>
    <row r="10" spans="1:30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4.25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30" ht="14.25" x14ac:dyDescent="0.2">
      <c r="A12" s="11"/>
      <c r="B12" s="11"/>
      <c r="C12" s="11"/>
      <c r="D12" s="11"/>
      <c r="E12" s="18"/>
      <c r="F12" s="18"/>
      <c r="G12" s="57" t="s">
        <v>1278</v>
      </c>
      <c r="H12" s="57"/>
      <c r="I12" s="57" t="s">
        <v>1279</v>
      </c>
      <c r="J12" s="57"/>
      <c r="K12" s="11"/>
      <c r="L12" s="11"/>
    </row>
    <row r="13" spans="1:30" ht="15" x14ac:dyDescent="0.25">
      <c r="A13" s="11"/>
      <c r="B13" s="11"/>
      <c r="C13" s="51" t="s">
        <v>1280</v>
      </c>
      <c r="D13" s="51"/>
      <c r="E13" s="51"/>
      <c r="F13" s="51"/>
      <c r="G13" s="52">
        <f>SUM(O24:O685)/1000</f>
        <v>203.53474000000006</v>
      </c>
      <c r="H13" s="52"/>
      <c r="I13" s="52">
        <f>(Source!F417/1000)</f>
        <v>1475.2740200000001</v>
      </c>
      <c r="J13" s="52"/>
      <c r="K13" s="53" t="s">
        <v>1281</v>
      </c>
      <c r="L13" s="53"/>
    </row>
    <row r="14" spans="1:30" ht="14.25" x14ac:dyDescent="0.2">
      <c r="A14" s="11"/>
      <c r="B14" s="11"/>
      <c r="C14" s="54" t="s">
        <v>1282</v>
      </c>
      <c r="D14" s="54"/>
      <c r="E14" s="54"/>
      <c r="F14" s="54"/>
      <c r="G14" s="52">
        <f>SUM(W24:W685)/1000</f>
        <v>156.39886000000007</v>
      </c>
      <c r="H14" s="52"/>
      <c r="I14" s="52">
        <f>(Source!F404)/1000</f>
        <v>959.08082999999999</v>
      </c>
      <c r="J14" s="52"/>
      <c r="K14" s="53" t="s">
        <v>1281</v>
      </c>
      <c r="L14" s="53"/>
    </row>
    <row r="15" spans="1:30" ht="14.25" x14ac:dyDescent="0.2">
      <c r="A15" s="11"/>
      <c r="B15" s="11"/>
      <c r="C15" s="54" t="s">
        <v>1283</v>
      </c>
      <c r="D15" s="54"/>
      <c r="E15" s="54"/>
      <c r="F15" s="54"/>
      <c r="G15" s="52">
        <f>SUM(X24:X685)/1000</f>
        <v>46.866250000000001</v>
      </c>
      <c r="H15" s="52"/>
      <c r="I15" s="52">
        <f>(Source!F405)/1000</f>
        <v>287.29018000000002</v>
      </c>
      <c r="J15" s="52"/>
      <c r="K15" s="53" t="s">
        <v>1281</v>
      </c>
      <c r="L15" s="53"/>
    </row>
    <row r="16" spans="1:30" ht="14.25" x14ac:dyDescent="0.2">
      <c r="A16" s="11"/>
      <c r="B16" s="11"/>
      <c r="C16" s="54" t="s">
        <v>1284</v>
      </c>
      <c r="D16" s="54"/>
      <c r="E16" s="54"/>
      <c r="F16" s="54"/>
      <c r="G16" s="52">
        <f>SUM(Y24:Y685)/1000</f>
        <v>0</v>
      </c>
      <c r="H16" s="52"/>
      <c r="I16" s="52">
        <f>(Source!F396)/1000</f>
        <v>0</v>
      </c>
      <c r="J16" s="52"/>
      <c r="K16" s="53" t="s">
        <v>1281</v>
      </c>
      <c r="L16" s="53"/>
    </row>
    <row r="17" spans="1:22" ht="14.25" x14ac:dyDescent="0.2">
      <c r="A17" s="11"/>
      <c r="B17" s="11"/>
      <c r="C17" s="54" t="s">
        <v>1285</v>
      </c>
      <c r="D17" s="54"/>
      <c r="E17" s="54"/>
      <c r="F17" s="54"/>
      <c r="G17" s="52">
        <f>SUM(Z24:Z685)/1000</f>
        <v>0.26962999999999998</v>
      </c>
      <c r="H17" s="52"/>
      <c r="I17" s="52">
        <f>(Source!F406+Source!F407)/1000</f>
        <v>3.8612100000000003</v>
      </c>
      <c r="J17" s="52"/>
      <c r="K17" s="53" t="s">
        <v>1281</v>
      </c>
      <c r="L17" s="53"/>
    </row>
    <row r="18" spans="1:22" ht="15" x14ac:dyDescent="0.25">
      <c r="A18" s="11"/>
      <c r="B18" s="11"/>
      <c r="C18" s="51" t="s">
        <v>1286</v>
      </c>
      <c r="D18" s="51"/>
      <c r="E18" s="51"/>
      <c r="F18" s="51"/>
      <c r="G18" s="52">
        <f>I18</f>
        <v>1861.9963905999996</v>
      </c>
      <c r="H18" s="52"/>
      <c r="I18" s="52">
        <f>(Source!F409+Source!F410)</f>
        <v>1861.9963905999996</v>
      </c>
      <c r="J18" s="52"/>
      <c r="K18" s="53" t="s">
        <v>1287</v>
      </c>
      <c r="L18" s="53"/>
    </row>
    <row r="19" spans="1:22" ht="15" x14ac:dyDescent="0.25">
      <c r="A19" s="11"/>
      <c r="B19" s="11"/>
      <c r="C19" s="51" t="s">
        <v>1288</v>
      </c>
      <c r="D19" s="51"/>
      <c r="E19" s="51"/>
      <c r="F19" s="51"/>
      <c r="G19" s="52">
        <f>SUM(R24:R685)/1000</f>
        <v>17.525760000000002</v>
      </c>
      <c r="H19" s="52"/>
      <c r="I19" s="52">
        <f>(Source!F402+ Source!F401)/1000</f>
        <v>108.50998</v>
      </c>
      <c r="J19" s="52"/>
      <c r="K19" s="53" t="s">
        <v>1281</v>
      </c>
      <c r="L19" s="53"/>
    </row>
    <row r="20" spans="1:22" ht="14.25" x14ac:dyDescent="0.2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22" ht="14.25" x14ac:dyDescent="0.2">
      <c r="A21" s="58" t="s">
        <v>1301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22" ht="57" x14ac:dyDescent="0.2">
      <c r="A22" s="19" t="s">
        <v>1289</v>
      </c>
      <c r="B22" s="19" t="s">
        <v>1290</v>
      </c>
      <c r="C22" s="19" t="s">
        <v>1291</v>
      </c>
      <c r="D22" s="19" t="s">
        <v>1292</v>
      </c>
      <c r="E22" s="19" t="s">
        <v>1293</v>
      </c>
      <c r="F22" s="19" t="s">
        <v>1294</v>
      </c>
      <c r="G22" s="19" t="s">
        <v>1295</v>
      </c>
      <c r="H22" s="19" t="s">
        <v>1296</v>
      </c>
      <c r="I22" s="19" t="s">
        <v>1297</v>
      </c>
      <c r="J22" s="19" t="s">
        <v>1298</v>
      </c>
      <c r="K22" s="19" t="s">
        <v>1299</v>
      </c>
      <c r="L22" s="19" t="s">
        <v>1300</v>
      </c>
    </row>
    <row r="23" spans="1:22" ht="14.25" x14ac:dyDescent="0.2">
      <c r="A23" s="20">
        <v>1</v>
      </c>
      <c r="B23" s="20">
        <v>2</v>
      </c>
      <c r="C23" s="20">
        <v>3</v>
      </c>
      <c r="D23" s="20">
        <v>4</v>
      </c>
      <c r="E23" s="20">
        <v>5</v>
      </c>
      <c r="F23" s="20">
        <v>6</v>
      </c>
      <c r="G23" s="20">
        <v>7</v>
      </c>
      <c r="H23" s="20">
        <v>8</v>
      </c>
      <c r="I23" s="20">
        <v>9</v>
      </c>
      <c r="J23" s="20">
        <v>10</v>
      </c>
      <c r="K23" s="20">
        <v>11</v>
      </c>
      <c r="L23" s="21">
        <v>12</v>
      </c>
    </row>
    <row r="24" spans="1:22" ht="16.5" x14ac:dyDescent="0.25">
      <c r="A24" s="64" t="str">
        <f>CONCATENATE("Раздел: ",IF(Source!G24&lt;&gt;"Новый раздел", Source!G24, ""))</f>
        <v>Раздел: Общестроительные работы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</row>
    <row r="25" spans="1:22" ht="28.5" x14ac:dyDescent="0.2">
      <c r="A25" s="42" t="str">
        <f>Source!E28</f>
        <v>1</v>
      </c>
      <c r="B25" s="43" t="str">
        <f>Source!F28</f>
        <v>63-7-5</v>
      </c>
      <c r="C25" s="43" t="str">
        <f>Source!G28</f>
        <v>Разборка облицовки стен из керамических глазурованных плиток</v>
      </c>
      <c r="D25" s="26" t="str">
        <f>Source!H28</f>
        <v>100 м2</v>
      </c>
      <c r="E25" s="10">
        <f>Source!I28</f>
        <v>0.247</v>
      </c>
      <c r="F25" s="27">
        <f>Source!AL28+Source!AM28+Source!AO28</f>
        <v>654</v>
      </c>
      <c r="G25" s="28"/>
      <c r="H25" s="27"/>
      <c r="I25" s="28" t="str">
        <f>Source!BO28</f>
        <v/>
      </c>
      <c r="J25" s="28"/>
      <c r="K25" s="27"/>
      <c r="L25" s="29"/>
      <c r="S25">
        <f>ROUND((Source!FX28/100)*((ROUND(Source!AF28*Source!I28, 2)+ROUND(Source!AE28*Source!I28, 2))), 2)</f>
        <v>112.11</v>
      </c>
      <c r="T25">
        <f>Source!X28</f>
        <v>687.24</v>
      </c>
      <c r="U25">
        <f>ROUND((Source!FY28/100)*((ROUND(Source!AF28*Source!I28, 2)+ROUND(Source!AE28*Source!I28, 2))), 2)</f>
        <v>72.8</v>
      </c>
      <c r="V25">
        <f>Source!Y28</f>
        <v>446.26</v>
      </c>
    </row>
    <row r="26" spans="1:22" x14ac:dyDescent="0.2">
      <c r="C26" s="22" t="str">
        <f>"Объем: "&amp;Source!I28&amp;"=24,7/"&amp;"100"</f>
        <v>Объем: 0,247=24,7/100</v>
      </c>
    </row>
    <row r="27" spans="1:22" ht="14.25" x14ac:dyDescent="0.2">
      <c r="A27" s="42"/>
      <c r="B27" s="43"/>
      <c r="C27" s="43" t="s">
        <v>1302</v>
      </c>
      <c r="D27" s="26"/>
      <c r="E27" s="10"/>
      <c r="F27" s="27">
        <f>Source!AO28</f>
        <v>584.74</v>
      </c>
      <c r="G27" s="28" t="str">
        <f>Source!DG28</f>
        <v/>
      </c>
      <c r="H27" s="27">
        <f>ROUND(Source!AF28*Source!I28, 2)</f>
        <v>144.43</v>
      </c>
      <c r="I27" s="28"/>
      <c r="J27" s="28">
        <f>IF(Source!BA28&lt;&gt; 0, Source!BA28, 1)</f>
        <v>6.13</v>
      </c>
      <c r="K27" s="27">
        <f>Source!S28</f>
        <v>885.36</v>
      </c>
      <c r="L27" s="29"/>
      <c r="R27">
        <f>H27</f>
        <v>144.43</v>
      </c>
    </row>
    <row r="28" spans="1:22" ht="14.25" x14ac:dyDescent="0.2">
      <c r="A28" s="42"/>
      <c r="B28" s="43"/>
      <c r="C28" s="43" t="s">
        <v>334</v>
      </c>
      <c r="D28" s="26"/>
      <c r="E28" s="10"/>
      <c r="F28" s="27">
        <f>Source!AM28</f>
        <v>69.260000000000005</v>
      </c>
      <c r="G28" s="28" t="str">
        <f>Source!DE28</f>
        <v/>
      </c>
      <c r="H28" s="27">
        <f>ROUND(Source!AD28*Source!I28, 2)</f>
        <v>17.11</v>
      </c>
      <c r="I28" s="28"/>
      <c r="J28" s="28">
        <f>IF(Source!BB28&lt;&gt; 0, Source!BB28, 1)</f>
        <v>6.13</v>
      </c>
      <c r="K28" s="27">
        <f>Source!Q28</f>
        <v>104.87</v>
      </c>
      <c r="L28" s="29"/>
    </row>
    <row r="29" spans="1:22" ht="14.25" x14ac:dyDescent="0.2">
      <c r="A29" s="42"/>
      <c r="B29" s="43"/>
      <c r="C29" s="43" t="s">
        <v>1303</v>
      </c>
      <c r="D29" s="26"/>
      <c r="E29" s="10"/>
      <c r="F29" s="27">
        <f>Source!AN28</f>
        <v>4.7300000000000004</v>
      </c>
      <c r="G29" s="28" t="str">
        <f>Source!DF28</f>
        <v/>
      </c>
      <c r="H29" s="30">
        <f>ROUND(Source!AE28*Source!I28, 2)</f>
        <v>1.17</v>
      </c>
      <c r="I29" s="28"/>
      <c r="J29" s="28">
        <f>IF(Source!BS28&lt;&gt; 0, Source!BS28, 1)</f>
        <v>6.13</v>
      </c>
      <c r="K29" s="30">
        <f>Source!R28</f>
        <v>7.16</v>
      </c>
      <c r="L29" s="29"/>
      <c r="R29">
        <f>H29</f>
        <v>1.17</v>
      </c>
    </row>
    <row r="30" spans="1:22" ht="14.25" x14ac:dyDescent="0.2">
      <c r="A30" s="42"/>
      <c r="B30" s="43"/>
      <c r="C30" s="43" t="s">
        <v>1304</v>
      </c>
      <c r="D30" s="26" t="s">
        <v>1305</v>
      </c>
      <c r="E30" s="10">
        <f>Source!BZ28</f>
        <v>77</v>
      </c>
      <c r="F30" s="46"/>
      <c r="G30" s="28"/>
      <c r="H30" s="27">
        <f>SUM(S25:S32)</f>
        <v>112.11</v>
      </c>
      <c r="I30" s="31"/>
      <c r="J30" s="25">
        <f>Source!AT28</f>
        <v>77</v>
      </c>
      <c r="K30" s="27">
        <f>SUM(T25:T32)</f>
        <v>687.24</v>
      </c>
      <c r="L30" s="29"/>
    </row>
    <row r="31" spans="1:22" ht="14.25" x14ac:dyDescent="0.2">
      <c r="A31" s="42"/>
      <c r="B31" s="43"/>
      <c r="C31" s="43" t="s">
        <v>1306</v>
      </c>
      <c r="D31" s="26" t="s">
        <v>1305</v>
      </c>
      <c r="E31" s="10">
        <f>Source!CA28</f>
        <v>50</v>
      </c>
      <c r="F31" s="46"/>
      <c r="G31" s="28"/>
      <c r="H31" s="27">
        <f>SUM(U25:U32)</f>
        <v>72.8</v>
      </c>
      <c r="I31" s="31"/>
      <c r="J31" s="25">
        <f>Source!AU28</f>
        <v>50</v>
      </c>
      <c r="K31" s="27">
        <f>SUM(V25:V32)</f>
        <v>446.26</v>
      </c>
      <c r="L31" s="29"/>
    </row>
    <row r="32" spans="1:22" ht="14.25" x14ac:dyDescent="0.2">
      <c r="A32" s="44"/>
      <c r="B32" s="45"/>
      <c r="C32" s="45" t="s">
        <v>1307</v>
      </c>
      <c r="D32" s="32" t="s">
        <v>1308</v>
      </c>
      <c r="E32" s="33">
        <f>Source!AQ28</f>
        <v>74.3</v>
      </c>
      <c r="F32" s="34"/>
      <c r="G32" s="35" t="str">
        <f>Source!DI28</f>
        <v/>
      </c>
      <c r="H32" s="34"/>
      <c r="I32" s="35"/>
      <c r="J32" s="35"/>
      <c r="K32" s="34"/>
      <c r="L32" s="36">
        <f>Source!U28</f>
        <v>18.3521</v>
      </c>
    </row>
    <row r="33" spans="1:26" ht="15" x14ac:dyDescent="0.25">
      <c r="G33" s="61">
        <f>H27+H28+H30+H31</f>
        <v>346.45000000000005</v>
      </c>
      <c r="H33" s="61"/>
      <c r="J33" s="61">
        <f>K27+K28+K30+K31</f>
        <v>2123.73</v>
      </c>
      <c r="K33" s="61"/>
      <c r="L33" s="37">
        <f>Source!U28</f>
        <v>18.3521</v>
      </c>
      <c r="O33" s="23">
        <f>G33</f>
        <v>346.45000000000005</v>
      </c>
      <c r="P33" s="23">
        <f>J33</f>
        <v>2123.73</v>
      </c>
      <c r="Q33" s="23">
        <f>L33</f>
        <v>18.3521</v>
      </c>
      <c r="W33">
        <f>IF(Source!BI28&lt;=1,H27+H28+H30+H31, 0)</f>
        <v>346.45000000000005</v>
      </c>
      <c r="X33">
        <f>IF(Source!BI28=2,H27+H28+H30+H31, 0)</f>
        <v>0</v>
      </c>
      <c r="Y33">
        <f>IF(Source!BI28=3,H27+H28+H30+H31, 0)</f>
        <v>0</v>
      </c>
      <c r="Z33">
        <f>IF(Source!BI28=4,H27+H28+H30+H31, 0)</f>
        <v>0</v>
      </c>
    </row>
    <row r="34" spans="1:26" ht="28.5" x14ac:dyDescent="0.2">
      <c r="A34" s="42" t="str">
        <f>Source!E29</f>
        <v>2</v>
      </c>
      <c r="B34" s="43" t="str">
        <f>Source!F29</f>
        <v>46-04-005-02</v>
      </c>
      <c r="C34" s="43" t="str">
        <f>Source!G29</f>
        <v>Разборка монолитных перегородок железобетонных</v>
      </c>
      <c r="D34" s="26" t="str">
        <f>Source!H29</f>
        <v>м3</v>
      </c>
      <c r="E34" s="10">
        <f>Source!I29</f>
        <v>3.3839999999999999</v>
      </c>
      <c r="F34" s="27">
        <f>Source!AL29+Source!AM29+Source!AO29</f>
        <v>243.89</v>
      </c>
      <c r="G34" s="28"/>
      <c r="H34" s="27"/>
      <c r="I34" s="28" t="str">
        <f>Source!BO29</f>
        <v/>
      </c>
      <c r="J34" s="28"/>
      <c r="K34" s="27"/>
      <c r="L34" s="29"/>
      <c r="S34">
        <f>ROUND((Source!FX29/100)*((ROUND(Source!AF29*Source!I29, 2)+ROUND(Source!AE29*Source!I29, 2))), 2)</f>
        <v>339.27</v>
      </c>
      <c r="T34">
        <f>Source!X29</f>
        <v>2079.73</v>
      </c>
      <c r="U34">
        <f>ROUND((Source!FY29/100)*((ROUND(Source!AF29*Source!I29, 2)+ROUND(Source!AE29*Source!I29, 2))), 2)</f>
        <v>203.91</v>
      </c>
      <c r="V34">
        <f>Source!Y29</f>
        <v>1260.44</v>
      </c>
    </row>
    <row r="35" spans="1:26" ht="14.25" x14ac:dyDescent="0.2">
      <c r="A35" s="42"/>
      <c r="B35" s="43"/>
      <c r="C35" s="43" t="s">
        <v>1302</v>
      </c>
      <c r="D35" s="26"/>
      <c r="E35" s="10"/>
      <c r="F35" s="27">
        <f>Source!AO29</f>
        <v>101.27</v>
      </c>
      <c r="G35" s="28" t="str">
        <f>Source!DG29</f>
        <v/>
      </c>
      <c r="H35" s="27">
        <f>ROUND(Source!AF29*Source!I29, 2)</f>
        <v>342.7</v>
      </c>
      <c r="I35" s="28"/>
      <c r="J35" s="28">
        <f>IF(Source!BA29&lt;&gt; 0, Source!BA29, 1)</f>
        <v>6.13</v>
      </c>
      <c r="K35" s="27">
        <f>Source!S29</f>
        <v>2100.7399999999998</v>
      </c>
      <c r="L35" s="29"/>
      <c r="R35">
        <f>H35</f>
        <v>342.7</v>
      </c>
    </row>
    <row r="36" spans="1:26" ht="14.25" x14ac:dyDescent="0.2">
      <c r="A36" s="42"/>
      <c r="B36" s="43"/>
      <c r="C36" s="43" t="s">
        <v>334</v>
      </c>
      <c r="D36" s="26"/>
      <c r="E36" s="10"/>
      <c r="F36" s="27">
        <f>Source!AM29</f>
        <v>120.17</v>
      </c>
      <c r="G36" s="28" t="str">
        <f>Source!DE29</f>
        <v/>
      </c>
      <c r="H36" s="27">
        <f>ROUND(Source!AD29*Source!I29, 2)</f>
        <v>406.66</v>
      </c>
      <c r="I36" s="28"/>
      <c r="J36" s="28">
        <f>IF(Source!BB29&lt;&gt; 0, Source!BB29, 1)</f>
        <v>6.13</v>
      </c>
      <c r="K36" s="27">
        <f>Source!Q29</f>
        <v>2492.8000000000002</v>
      </c>
      <c r="L36" s="29"/>
    </row>
    <row r="37" spans="1:26" ht="14.25" x14ac:dyDescent="0.2">
      <c r="A37" s="42"/>
      <c r="B37" s="43"/>
      <c r="C37" s="43" t="s">
        <v>1309</v>
      </c>
      <c r="D37" s="26"/>
      <c r="E37" s="10"/>
      <c r="F37" s="27">
        <f>Source!AL29</f>
        <v>22.45</v>
      </c>
      <c r="G37" s="28" t="str">
        <f>Source!DD29</f>
        <v/>
      </c>
      <c r="H37" s="27">
        <f>ROUND(Source!AC29*Source!I29, 2)</f>
        <v>75.97</v>
      </c>
      <c r="I37" s="28"/>
      <c r="J37" s="28">
        <f>IF(Source!BC29&lt;&gt; 0, Source!BC29, 1)</f>
        <v>6.13</v>
      </c>
      <c r="K37" s="27">
        <f>Source!P29</f>
        <v>465.7</v>
      </c>
      <c r="L37" s="29"/>
    </row>
    <row r="38" spans="1:26" ht="14.25" x14ac:dyDescent="0.2">
      <c r="A38" s="42"/>
      <c r="B38" s="43"/>
      <c r="C38" s="43" t="s">
        <v>1304</v>
      </c>
      <c r="D38" s="26" t="s">
        <v>1305</v>
      </c>
      <c r="E38" s="10">
        <f>Source!BZ29</f>
        <v>110</v>
      </c>
      <c r="F38" s="50" t="str">
        <f>CONCATENATE(" )", Source!DL29, Source!FT29, "=", Source!FX29)</f>
        <v xml:space="preserve"> )*0,9=99</v>
      </c>
      <c r="G38" s="62"/>
      <c r="H38" s="27">
        <f>SUM(S34:S40)</f>
        <v>339.27</v>
      </c>
      <c r="I38" s="31"/>
      <c r="J38" s="25">
        <f>Source!AT29</f>
        <v>99</v>
      </c>
      <c r="K38" s="27">
        <f>SUM(T34:T40)</f>
        <v>2079.73</v>
      </c>
      <c r="L38" s="29"/>
    </row>
    <row r="39" spans="1:26" ht="14.25" x14ac:dyDescent="0.2">
      <c r="A39" s="42"/>
      <c r="B39" s="43"/>
      <c r="C39" s="43" t="s">
        <v>1306</v>
      </c>
      <c r="D39" s="26" t="s">
        <v>1305</v>
      </c>
      <c r="E39" s="10">
        <f>Source!CA29</f>
        <v>70</v>
      </c>
      <c r="F39" s="50" t="str">
        <f>CONCATENATE(" )", Source!DM29, Source!FU29, "=", Source!FY29)</f>
        <v xml:space="preserve"> )*0,85=59,5</v>
      </c>
      <c r="G39" s="62"/>
      <c r="H39" s="27">
        <f>SUM(U34:U40)</f>
        <v>203.91</v>
      </c>
      <c r="I39" s="31"/>
      <c r="J39" s="25">
        <f>Source!AU29</f>
        <v>60</v>
      </c>
      <c r="K39" s="27">
        <f>SUM(V34:V40)</f>
        <v>1260.44</v>
      </c>
      <c r="L39" s="29"/>
    </row>
    <row r="40" spans="1:26" ht="14.25" x14ac:dyDescent="0.2">
      <c r="A40" s="44"/>
      <c r="B40" s="45"/>
      <c r="C40" s="45" t="s">
        <v>1307</v>
      </c>
      <c r="D40" s="32" t="s">
        <v>1308</v>
      </c>
      <c r="E40" s="33">
        <f>Source!AQ29</f>
        <v>11.43</v>
      </c>
      <c r="F40" s="34"/>
      <c r="G40" s="35" t="str">
        <f>Source!DI29</f>
        <v/>
      </c>
      <c r="H40" s="34"/>
      <c r="I40" s="35"/>
      <c r="J40" s="35"/>
      <c r="K40" s="34"/>
      <c r="L40" s="36">
        <f>Source!U29</f>
        <v>38.679119999999998</v>
      </c>
    </row>
    <row r="41" spans="1:26" ht="15" x14ac:dyDescent="0.25">
      <c r="G41" s="61">
        <f>H35+H36+H37+H38+H39</f>
        <v>1368.51</v>
      </c>
      <c r="H41" s="61"/>
      <c r="J41" s="61">
        <f>K35+K36+K37+K38+K39</f>
        <v>8399.41</v>
      </c>
      <c r="K41" s="61"/>
      <c r="L41" s="37">
        <f>Source!U29</f>
        <v>38.679119999999998</v>
      </c>
      <c r="O41" s="23">
        <f>G41</f>
        <v>1368.51</v>
      </c>
      <c r="P41" s="23">
        <f>J41</f>
        <v>8399.41</v>
      </c>
      <c r="Q41" s="23">
        <f>L41</f>
        <v>38.679119999999998</v>
      </c>
      <c r="W41">
        <f>IF(Source!BI29&lt;=1,H35+H36+H37+H38+H39, 0)</f>
        <v>1368.51</v>
      </c>
      <c r="X41">
        <f>IF(Source!BI29=2,H35+H36+H37+H38+H39, 0)</f>
        <v>0</v>
      </c>
      <c r="Y41">
        <f>IF(Source!BI29=3,H35+H36+H37+H38+H39, 0)</f>
        <v>0</v>
      </c>
      <c r="Z41">
        <f>IF(Source!BI29=4,H35+H36+H37+H38+H39, 0)</f>
        <v>0</v>
      </c>
    </row>
    <row r="42" spans="1:26" ht="28.5" x14ac:dyDescent="0.2">
      <c r="A42" s="42" t="str">
        <f>Source!E30</f>
        <v>3</v>
      </c>
      <c r="B42" s="43" t="str">
        <f>Source!F30</f>
        <v>09-03-029-01</v>
      </c>
      <c r="C42" s="43" t="str">
        <f>Source!G30</f>
        <v>Демонтаж   прямолинейных  металлических лестниц</v>
      </c>
      <c r="D42" s="26" t="str">
        <f>Source!H30</f>
        <v>т</v>
      </c>
      <c r="E42" s="10">
        <f>Source!I30</f>
        <v>0.4</v>
      </c>
      <c r="F42" s="27">
        <f>Source!AL30+Source!AM30+Source!AO30</f>
        <v>1076.46</v>
      </c>
      <c r="G42" s="28"/>
      <c r="H42" s="27"/>
      <c r="I42" s="28" t="str">
        <f>Source!BO30</f>
        <v/>
      </c>
      <c r="J42" s="28"/>
      <c r="K42" s="27"/>
      <c r="L42" s="29"/>
      <c r="S42">
        <f>ROUND((Source!FX30/100)*((ROUND(Source!AF30*Source!I30, 2)+ROUND(Source!AE30*Source!I30, 2))), 2)</f>
        <v>104.17</v>
      </c>
      <c r="T42">
        <f>Source!X30</f>
        <v>638.58000000000004</v>
      </c>
      <c r="U42">
        <f>ROUND((Source!FY30/100)*((ROUND(Source!AF30*Source!I30, 2)+ROUND(Source!AE30*Source!I30, 2))), 2)</f>
        <v>92.92</v>
      </c>
      <c r="V42">
        <f>Source!Y30</f>
        <v>567.63</v>
      </c>
    </row>
    <row r="43" spans="1:26" ht="14.25" x14ac:dyDescent="0.2">
      <c r="A43" s="42"/>
      <c r="B43" s="43"/>
      <c r="C43" s="43" t="s">
        <v>1302</v>
      </c>
      <c r="D43" s="26"/>
      <c r="E43" s="10"/>
      <c r="F43" s="27">
        <f>Source!AO30</f>
        <v>304.27999999999997</v>
      </c>
      <c r="G43" s="28" t="str">
        <f>Source!DG30</f>
        <v>)*0,7)*1,2</v>
      </c>
      <c r="H43" s="27">
        <f>ROUND(Source!AF30*Source!I30, 2)</f>
        <v>102.24</v>
      </c>
      <c r="I43" s="28"/>
      <c r="J43" s="28">
        <f>IF(Source!BA30&lt;&gt; 0, Source!BA30, 1)</f>
        <v>6.13</v>
      </c>
      <c r="K43" s="27">
        <f>Source!S30</f>
        <v>626.73</v>
      </c>
      <c r="L43" s="29"/>
      <c r="R43">
        <f>H43</f>
        <v>102.24</v>
      </c>
    </row>
    <row r="44" spans="1:26" ht="14.25" x14ac:dyDescent="0.2">
      <c r="A44" s="42"/>
      <c r="B44" s="43"/>
      <c r="C44" s="43" t="s">
        <v>334</v>
      </c>
      <c r="D44" s="26"/>
      <c r="E44" s="10"/>
      <c r="F44" s="27">
        <f>Source!AM30</f>
        <v>683.69</v>
      </c>
      <c r="G44" s="28" t="str">
        <f>Source!DE30</f>
        <v>)*0,7)*1,2</v>
      </c>
      <c r="H44" s="27">
        <f>ROUND(Source!AD30*Source!I30, 2)</f>
        <v>229.72</v>
      </c>
      <c r="I44" s="28"/>
      <c r="J44" s="28">
        <f>IF(Source!BB30&lt;&gt; 0, Source!BB30, 1)</f>
        <v>6.13</v>
      </c>
      <c r="K44" s="27">
        <f>Source!Q30</f>
        <v>1408.18</v>
      </c>
      <c r="L44" s="29"/>
    </row>
    <row r="45" spans="1:26" ht="14.25" x14ac:dyDescent="0.2">
      <c r="A45" s="42"/>
      <c r="B45" s="43"/>
      <c r="C45" s="43" t="s">
        <v>1303</v>
      </c>
      <c r="D45" s="26"/>
      <c r="E45" s="10"/>
      <c r="F45" s="27">
        <f>Source!AN30</f>
        <v>78.48</v>
      </c>
      <c r="G45" s="28" t="str">
        <f>Source!DF30</f>
        <v>)*0,7)*1,2</v>
      </c>
      <c r="H45" s="30">
        <f>ROUND(Source!AE30*Source!I30, 2)</f>
        <v>26.37</v>
      </c>
      <c r="I45" s="28"/>
      <c r="J45" s="28">
        <f>IF(Source!BS30&lt;&gt; 0, Source!BS30, 1)</f>
        <v>6.13</v>
      </c>
      <c r="K45" s="30">
        <f>Source!R30</f>
        <v>161.63999999999999</v>
      </c>
      <c r="L45" s="29"/>
      <c r="R45">
        <f>H45</f>
        <v>26.37</v>
      </c>
    </row>
    <row r="46" spans="1:26" ht="14.25" x14ac:dyDescent="0.2">
      <c r="A46" s="42"/>
      <c r="B46" s="43"/>
      <c r="C46" s="43" t="s">
        <v>1304</v>
      </c>
      <c r="D46" s="26" t="s">
        <v>1305</v>
      </c>
      <c r="E46" s="10">
        <f>Source!BZ30</f>
        <v>90</v>
      </c>
      <c r="F46" s="50" t="str">
        <f>CONCATENATE(" )", Source!DL30, Source!FT30, "=", Source!FX30)</f>
        <v xml:space="preserve"> )*0,9=81</v>
      </c>
      <c r="G46" s="62"/>
      <c r="H46" s="27">
        <f>SUM(S42:S48)</f>
        <v>104.17</v>
      </c>
      <c r="I46" s="31"/>
      <c r="J46" s="25">
        <f>Source!AT30</f>
        <v>81</v>
      </c>
      <c r="K46" s="27">
        <f>SUM(T42:T48)</f>
        <v>638.58000000000004</v>
      </c>
      <c r="L46" s="29"/>
    </row>
    <row r="47" spans="1:26" ht="14.25" x14ac:dyDescent="0.2">
      <c r="A47" s="42"/>
      <c r="B47" s="43"/>
      <c r="C47" s="43" t="s">
        <v>1306</v>
      </c>
      <c r="D47" s="26" t="s">
        <v>1305</v>
      </c>
      <c r="E47" s="10">
        <f>Source!CA30</f>
        <v>85</v>
      </c>
      <c r="F47" s="50" t="str">
        <f>CONCATENATE(" )", Source!DM30, Source!FU30, "=", Source!FY30)</f>
        <v xml:space="preserve"> )*0,85=72,25</v>
      </c>
      <c r="G47" s="62"/>
      <c r="H47" s="27">
        <f>SUM(U42:U48)</f>
        <v>92.92</v>
      </c>
      <c r="I47" s="31"/>
      <c r="J47" s="25">
        <f>Source!AU30</f>
        <v>72</v>
      </c>
      <c r="K47" s="27">
        <f>SUM(V42:V48)</f>
        <v>567.63</v>
      </c>
      <c r="L47" s="29"/>
    </row>
    <row r="48" spans="1:26" ht="14.25" x14ac:dyDescent="0.2">
      <c r="A48" s="44"/>
      <c r="B48" s="45"/>
      <c r="C48" s="45" t="s">
        <v>1307</v>
      </c>
      <c r="D48" s="32" t="s">
        <v>1308</v>
      </c>
      <c r="E48" s="33">
        <f>Source!AQ30</f>
        <v>32.369999999999997</v>
      </c>
      <c r="F48" s="34"/>
      <c r="G48" s="35" t="str">
        <f>Source!DI30</f>
        <v>)*0,7)*1,2</v>
      </c>
      <c r="H48" s="34"/>
      <c r="I48" s="35"/>
      <c r="J48" s="35"/>
      <c r="K48" s="34"/>
      <c r="L48" s="36">
        <f>Source!U30</f>
        <v>10.876319999999998</v>
      </c>
    </row>
    <row r="49" spans="1:26" ht="15" x14ac:dyDescent="0.25">
      <c r="G49" s="61">
        <f>H43+H44+H46+H47</f>
        <v>529.04999999999995</v>
      </c>
      <c r="H49" s="61"/>
      <c r="J49" s="61">
        <f>K43+K44+K46+K47</f>
        <v>3241.1200000000003</v>
      </c>
      <c r="K49" s="61"/>
      <c r="L49" s="37">
        <f>Source!U30</f>
        <v>10.876319999999998</v>
      </c>
      <c r="O49" s="23">
        <f>G49</f>
        <v>529.04999999999995</v>
      </c>
      <c r="P49" s="23">
        <f>J49</f>
        <v>3241.1200000000003</v>
      </c>
      <c r="Q49" s="23">
        <f>L49</f>
        <v>10.876319999999998</v>
      </c>
      <c r="W49">
        <f>IF(Source!BI30&lt;=1,H43+H44+H46+H47, 0)</f>
        <v>529.04999999999995</v>
      </c>
      <c r="X49">
        <f>IF(Source!BI30=2,H43+H44+H46+H47, 0)</f>
        <v>0</v>
      </c>
      <c r="Y49">
        <f>IF(Source!BI30=3,H43+H44+H46+H47, 0)</f>
        <v>0</v>
      </c>
      <c r="Z49">
        <f>IF(Source!BI30=4,H43+H44+H46+H47, 0)</f>
        <v>0</v>
      </c>
    </row>
    <row r="50" spans="1:26" ht="42.75" x14ac:dyDescent="0.2">
      <c r="A50" s="42" t="str">
        <f>Source!E31</f>
        <v>4</v>
      </c>
      <c r="B50" s="43" t="str">
        <f>Source!F31</f>
        <v>46-04-012-02</v>
      </c>
      <c r="C50" s="43" t="str">
        <f>Source!G31</f>
        <v>Разборка деревянных заполнений проемов оконных без подоконных досок</v>
      </c>
      <c r="D50" s="26" t="str">
        <f>Source!H31</f>
        <v>100 м2</v>
      </c>
      <c r="E50" s="10">
        <f>Source!I31</f>
        <v>9.9000000000000008E-3</v>
      </c>
      <c r="F50" s="27">
        <f>Source!AL31+Source!AM31+Source!AO31</f>
        <v>1639.5800000000002</v>
      </c>
      <c r="G50" s="28"/>
      <c r="H50" s="27"/>
      <c r="I50" s="28" t="str">
        <f>Source!BO31</f>
        <v/>
      </c>
      <c r="J50" s="28"/>
      <c r="K50" s="27"/>
      <c r="L50" s="29"/>
      <c r="S50">
        <f>ROUND((Source!FX31/100)*((ROUND(Source!AF31*Source!I31, 2)+ROUND(Source!AE31*Source!I31, 2))), 2)</f>
        <v>14.72</v>
      </c>
      <c r="T50">
        <f>Source!X31</f>
        <v>90.25</v>
      </c>
      <c r="U50">
        <f>ROUND((Source!FY31/100)*((ROUND(Source!AF31*Source!I31, 2)+ROUND(Source!AE31*Source!I31, 2))), 2)</f>
        <v>8.85</v>
      </c>
      <c r="V50">
        <f>Source!Y31</f>
        <v>54.7</v>
      </c>
    </row>
    <row r="51" spans="1:26" x14ac:dyDescent="0.2">
      <c r="C51" s="22" t="str">
        <f>"Объем: "&amp;Source!I31&amp;"=0,99/"&amp;"100"</f>
        <v>Объем: 0,0099=0,99/100</v>
      </c>
    </row>
    <row r="52" spans="1:26" ht="14.25" x14ac:dyDescent="0.2">
      <c r="A52" s="42"/>
      <c r="B52" s="43"/>
      <c r="C52" s="43" t="s">
        <v>1302</v>
      </c>
      <c r="D52" s="26"/>
      <c r="E52" s="10"/>
      <c r="F52" s="27">
        <f>Source!AO31</f>
        <v>1397.63</v>
      </c>
      <c r="G52" s="28" t="str">
        <f>Source!DG31</f>
        <v/>
      </c>
      <c r="H52" s="27">
        <f>ROUND(Source!AF31*Source!I31, 2)</f>
        <v>13.84</v>
      </c>
      <c r="I52" s="28"/>
      <c r="J52" s="28">
        <f>IF(Source!BA31&lt;&gt; 0, Source!BA31, 1)</f>
        <v>6.13</v>
      </c>
      <c r="K52" s="27">
        <f>Source!S31</f>
        <v>84.82</v>
      </c>
      <c r="L52" s="29"/>
      <c r="R52">
        <f>H52</f>
        <v>13.84</v>
      </c>
    </row>
    <row r="53" spans="1:26" ht="14.25" x14ac:dyDescent="0.2">
      <c r="A53" s="42"/>
      <c r="B53" s="43"/>
      <c r="C53" s="43" t="s">
        <v>334</v>
      </c>
      <c r="D53" s="26"/>
      <c r="E53" s="10"/>
      <c r="F53" s="27">
        <f>Source!AM31</f>
        <v>241.95</v>
      </c>
      <c r="G53" s="28" t="str">
        <f>Source!DE31</f>
        <v/>
      </c>
      <c r="H53" s="27">
        <f>ROUND(Source!AD31*Source!I31, 2)</f>
        <v>2.4</v>
      </c>
      <c r="I53" s="28"/>
      <c r="J53" s="28">
        <f>IF(Source!BB31&lt;&gt; 0, Source!BB31, 1)</f>
        <v>6.13</v>
      </c>
      <c r="K53" s="27">
        <f>Source!Q31</f>
        <v>14.68</v>
      </c>
      <c r="L53" s="29"/>
    </row>
    <row r="54" spans="1:26" ht="14.25" x14ac:dyDescent="0.2">
      <c r="A54" s="42"/>
      <c r="B54" s="43"/>
      <c r="C54" s="43" t="s">
        <v>1303</v>
      </c>
      <c r="D54" s="26"/>
      <c r="E54" s="10"/>
      <c r="F54" s="27">
        <f>Source!AN31</f>
        <v>104.49</v>
      </c>
      <c r="G54" s="28" t="str">
        <f>Source!DF31</f>
        <v/>
      </c>
      <c r="H54" s="30">
        <f>ROUND(Source!AE31*Source!I31, 2)</f>
        <v>1.03</v>
      </c>
      <c r="I54" s="28"/>
      <c r="J54" s="28">
        <f>IF(Source!BS31&lt;&gt; 0, Source!BS31, 1)</f>
        <v>6.13</v>
      </c>
      <c r="K54" s="30">
        <f>Source!R31</f>
        <v>6.34</v>
      </c>
      <c r="L54" s="29"/>
      <c r="R54">
        <f>H54</f>
        <v>1.03</v>
      </c>
    </row>
    <row r="55" spans="1:26" ht="14.25" x14ac:dyDescent="0.2">
      <c r="A55" s="42"/>
      <c r="B55" s="43"/>
      <c r="C55" s="43" t="s">
        <v>1304</v>
      </c>
      <c r="D55" s="26" t="s">
        <v>1305</v>
      </c>
      <c r="E55" s="10">
        <f>Source!BZ31</f>
        <v>110</v>
      </c>
      <c r="F55" s="50" t="str">
        <f>CONCATENATE(" )", Source!DL31, Source!FT31, "=", Source!FX31)</f>
        <v xml:space="preserve"> )*0,9=99</v>
      </c>
      <c r="G55" s="62"/>
      <c r="H55" s="27">
        <f>SUM(S50:S57)</f>
        <v>14.72</v>
      </c>
      <c r="I55" s="31"/>
      <c r="J55" s="25">
        <f>Source!AT31</f>
        <v>99</v>
      </c>
      <c r="K55" s="27">
        <f>SUM(T50:T57)</f>
        <v>90.25</v>
      </c>
      <c r="L55" s="29"/>
    </row>
    <row r="56" spans="1:26" ht="14.25" x14ac:dyDescent="0.2">
      <c r="A56" s="42"/>
      <c r="B56" s="43"/>
      <c r="C56" s="43" t="s">
        <v>1306</v>
      </c>
      <c r="D56" s="26" t="s">
        <v>1305</v>
      </c>
      <c r="E56" s="10">
        <f>Source!CA31</f>
        <v>70</v>
      </c>
      <c r="F56" s="50" t="str">
        <f>CONCATENATE(" )", Source!DM31, Source!FU31, "=", Source!FY31)</f>
        <v xml:space="preserve"> )*0,85=59,5</v>
      </c>
      <c r="G56" s="62"/>
      <c r="H56" s="27">
        <f>SUM(U50:U57)</f>
        <v>8.85</v>
      </c>
      <c r="I56" s="31"/>
      <c r="J56" s="25">
        <f>Source!AU31</f>
        <v>60</v>
      </c>
      <c r="K56" s="27">
        <f>SUM(V50:V57)</f>
        <v>54.7</v>
      </c>
      <c r="L56" s="29"/>
    </row>
    <row r="57" spans="1:26" ht="14.25" x14ac:dyDescent="0.2">
      <c r="A57" s="44"/>
      <c r="B57" s="45"/>
      <c r="C57" s="45" t="s">
        <v>1307</v>
      </c>
      <c r="D57" s="32" t="s">
        <v>1308</v>
      </c>
      <c r="E57" s="33">
        <f>Source!AQ31</f>
        <v>172.76</v>
      </c>
      <c r="F57" s="34"/>
      <c r="G57" s="35" t="str">
        <f>Source!DI31</f>
        <v/>
      </c>
      <c r="H57" s="34"/>
      <c r="I57" s="35"/>
      <c r="J57" s="35"/>
      <c r="K57" s="34"/>
      <c r="L57" s="36">
        <f>Source!U31</f>
        <v>1.710324</v>
      </c>
    </row>
    <row r="58" spans="1:26" ht="15" x14ac:dyDescent="0.25">
      <c r="G58" s="61">
        <f>H52+H53+H55+H56</f>
        <v>39.81</v>
      </c>
      <c r="H58" s="61"/>
      <c r="J58" s="61">
        <f>K52+K53+K55+K56</f>
        <v>244.45</v>
      </c>
      <c r="K58" s="61"/>
      <c r="L58" s="37">
        <f>Source!U31</f>
        <v>1.710324</v>
      </c>
      <c r="O58" s="23">
        <f>G58</f>
        <v>39.81</v>
      </c>
      <c r="P58" s="23">
        <f>J58</f>
        <v>244.45</v>
      </c>
      <c r="Q58" s="23">
        <f>L58</f>
        <v>1.710324</v>
      </c>
      <c r="W58">
        <f>IF(Source!BI31&lt;=1,H52+H53+H55+H56, 0)</f>
        <v>39.81</v>
      </c>
      <c r="X58">
        <f>IF(Source!BI31=2,H52+H53+H55+H56, 0)</f>
        <v>0</v>
      </c>
      <c r="Y58">
        <f>IF(Source!BI31=3,H52+H53+H55+H56, 0)</f>
        <v>0</v>
      </c>
      <c r="Z58">
        <f>IF(Source!BI31=4,H52+H53+H55+H56, 0)</f>
        <v>0</v>
      </c>
    </row>
    <row r="59" spans="1:26" ht="28.5" x14ac:dyDescent="0.2">
      <c r="A59" s="42" t="str">
        <f>Source!E32</f>
        <v>5</v>
      </c>
      <c r="B59" s="43" t="str">
        <f>Source!F32</f>
        <v>46-04-012-03</v>
      </c>
      <c r="C59" s="43" t="str">
        <f>Source!G32</f>
        <v>Разборка деревянных заполнений проемов дверных</v>
      </c>
      <c r="D59" s="26" t="str">
        <f>Source!H32</f>
        <v>100 м2</v>
      </c>
      <c r="E59" s="10">
        <f>Source!I32</f>
        <v>0.16</v>
      </c>
      <c r="F59" s="27">
        <f>Source!AL32+Source!AM32+Source!AO32</f>
        <v>1082.58</v>
      </c>
      <c r="G59" s="28"/>
      <c r="H59" s="27"/>
      <c r="I59" s="28" t="str">
        <f>Source!BO32</f>
        <v/>
      </c>
      <c r="J59" s="28"/>
      <c r="K59" s="27"/>
      <c r="L59" s="29"/>
      <c r="S59">
        <f>ROUND((Source!FX32/100)*((ROUND(Source!AF32*Source!I32, 2)+ROUND(Source!AE32*Source!I32, 2))), 2)</f>
        <v>149.71</v>
      </c>
      <c r="T59">
        <f>Source!X32</f>
        <v>917.7</v>
      </c>
      <c r="U59">
        <f>ROUND((Source!FY32/100)*((ROUND(Source!AF32*Source!I32, 2)+ROUND(Source!AE32*Source!I32, 2))), 2)</f>
        <v>89.98</v>
      </c>
      <c r="V59">
        <f>Source!Y32</f>
        <v>556.17999999999995</v>
      </c>
    </row>
    <row r="60" spans="1:26" x14ac:dyDescent="0.2">
      <c r="C60" s="22" t="str">
        <f>"Объем: "&amp;Source!I32&amp;"=16/"&amp;"100"</f>
        <v>Объем: 0,16=16/100</v>
      </c>
    </row>
    <row r="61" spans="1:26" ht="14.25" x14ac:dyDescent="0.2">
      <c r="A61" s="42"/>
      <c r="B61" s="43"/>
      <c r="C61" s="43" t="s">
        <v>1302</v>
      </c>
      <c r="D61" s="26"/>
      <c r="E61" s="10"/>
      <c r="F61" s="27">
        <f>Source!AO32</f>
        <v>840.63</v>
      </c>
      <c r="G61" s="28" t="str">
        <f>Source!DG32</f>
        <v/>
      </c>
      <c r="H61" s="27">
        <f>ROUND(Source!AF32*Source!I32, 2)</f>
        <v>134.5</v>
      </c>
      <c r="I61" s="28"/>
      <c r="J61" s="28">
        <f>IF(Source!BA32&lt;&gt; 0, Source!BA32, 1)</f>
        <v>6.13</v>
      </c>
      <c r="K61" s="27">
        <f>Source!S32</f>
        <v>824.49</v>
      </c>
      <c r="L61" s="29"/>
      <c r="R61">
        <f>H61</f>
        <v>134.5</v>
      </c>
    </row>
    <row r="62" spans="1:26" ht="14.25" x14ac:dyDescent="0.2">
      <c r="A62" s="42"/>
      <c r="B62" s="43"/>
      <c r="C62" s="43" t="s">
        <v>334</v>
      </c>
      <c r="D62" s="26"/>
      <c r="E62" s="10"/>
      <c r="F62" s="27">
        <f>Source!AM32</f>
        <v>241.95</v>
      </c>
      <c r="G62" s="28" t="str">
        <f>Source!DE32</f>
        <v/>
      </c>
      <c r="H62" s="27">
        <f>ROUND(Source!AD32*Source!I32, 2)</f>
        <v>38.71</v>
      </c>
      <c r="I62" s="28"/>
      <c r="J62" s="28">
        <f>IF(Source!BB32&lt;&gt; 0, Source!BB32, 1)</f>
        <v>6.13</v>
      </c>
      <c r="K62" s="27">
        <f>Source!Q32</f>
        <v>237.3</v>
      </c>
      <c r="L62" s="29"/>
    </row>
    <row r="63" spans="1:26" ht="14.25" x14ac:dyDescent="0.2">
      <c r="A63" s="42"/>
      <c r="B63" s="43"/>
      <c r="C63" s="43" t="s">
        <v>1303</v>
      </c>
      <c r="D63" s="26"/>
      <c r="E63" s="10"/>
      <c r="F63" s="27">
        <f>Source!AN32</f>
        <v>104.49</v>
      </c>
      <c r="G63" s="28" t="str">
        <f>Source!DF32</f>
        <v/>
      </c>
      <c r="H63" s="30">
        <f>ROUND(Source!AE32*Source!I32, 2)</f>
        <v>16.72</v>
      </c>
      <c r="I63" s="28"/>
      <c r="J63" s="28">
        <f>IF(Source!BS32&lt;&gt; 0, Source!BS32, 1)</f>
        <v>6.13</v>
      </c>
      <c r="K63" s="30">
        <f>Source!R32</f>
        <v>102.48</v>
      </c>
      <c r="L63" s="29"/>
      <c r="R63">
        <f>H63</f>
        <v>16.72</v>
      </c>
    </row>
    <row r="64" spans="1:26" ht="14.25" x14ac:dyDescent="0.2">
      <c r="A64" s="42"/>
      <c r="B64" s="43"/>
      <c r="C64" s="43" t="s">
        <v>1304</v>
      </c>
      <c r="D64" s="26" t="s">
        <v>1305</v>
      </c>
      <c r="E64" s="10">
        <f>Source!BZ32</f>
        <v>110</v>
      </c>
      <c r="F64" s="50" t="str">
        <f>CONCATENATE(" )", Source!DL32, Source!FT32, "=", Source!FX32)</f>
        <v xml:space="preserve"> )*0,9=99</v>
      </c>
      <c r="G64" s="62"/>
      <c r="H64" s="27">
        <f>SUM(S59:S66)</f>
        <v>149.71</v>
      </c>
      <c r="I64" s="31"/>
      <c r="J64" s="25">
        <f>Source!AT32</f>
        <v>99</v>
      </c>
      <c r="K64" s="27">
        <f>SUM(T59:T66)</f>
        <v>917.7</v>
      </c>
      <c r="L64" s="29"/>
    </row>
    <row r="65" spans="1:26" ht="14.25" x14ac:dyDescent="0.2">
      <c r="A65" s="42"/>
      <c r="B65" s="43"/>
      <c r="C65" s="43" t="s">
        <v>1306</v>
      </c>
      <c r="D65" s="26" t="s">
        <v>1305</v>
      </c>
      <c r="E65" s="10">
        <f>Source!CA32</f>
        <v>70</v>
      </c>
      <c r="F65" s="50" t="str">
        <f>CONCATENATE(" )", Source!DM32, Source!FU32, "=", Source!FY32)</f>
        <v xml:space="preserve"> )*0,85=59,5</v>
      </c>
      <c r="G65" s="62"/>
      <c r="H65" s="27">
        <f>SUM(U59:U66)</f>
        <v>89.98</v>
      </c>
      <c r="I65" s="31"/>
      <c r="J65" s="25">
        <f>Source!AU32</f>
        <v>60</v>
      </c>
      <c r="K65" s="27">
        <f>SUM(V59:V66)</f>
        <v>556.17999999999995</v>
      </c>
      <c r="L65" s="29"/>
    </row>
    <row r="66" spans="1:26" ht="14.25" x14ac:dyDescent="0.2">
      <c r="A66" s="44"/>
      <c r="B66" s="45"/>
      <c r="C66" s="45" t="s">
        <v>1307</v>
      </c>
      <c r="D66" s="32" t="s">
        <v>1308</v>
      </c>
      <c r="E66" s="33">
        <f>Source!AQ32</f>
        <v>103.91</v>
      </c>
      <c r="F66" s="34"/>
      <c r="G66" s="35" t="str">
        <f>Source!DI32</f>
        <v/>
      </c>
      <c r="H66" s="34"/>
      <c r="I66" s="35"/>
      <c r="J66" s="35"/>
      <c r="K66" s="34"/>
      <c r="L66" s="36">
        <f>Source!U32</f>
        <v>16.625599999999999</v>
      </c>
    </row>
    <row r="67" spans="1:26" ht="15" x14ac:dyDescent="0.25">
      <c r="G67" s="61">
        <f>H61+H62+H64+H65</f>
        <v>412.90000000000003</v>
      </c>
      <c r="H67" s="61"/>
      <c r="J67" s="61">
        <f>K61+K62+K64+K65</f>
        <v>2535.67</v>
      </c>
      <c r="K67" s="61"/>
      <c r="L67" s="37">
        <f>Source!U32</f>
        <v>16.625599999999999</v>
      </c>
      <c r="O67" s="23">
        <f>G67</f>
        <v>412.90000000000003</v>
      </c>
      <c r="P67" s="23">
        <f>J67</f>
        <v>2535.67</v>
      </c>
      <c r="Q67" s="23">
        <f>L67</f>
        <v>16.625599999999999</v>
      </c>
      <c r="W67">
        <f>IF(Source!BI32&lt;=1,H61+H62+H64+H65, 0)</f>
        <v>412.90000000000003</v>
      </c>
      <c r="X67">
        <f>IF(Source!BI32=2,H61+H62+H64+H65, 0)</f>
        <v>0</v>
      </c>
      <c r="Y67">
        <f>IF(Source!BI32=3,H61+H62+H64+H65, 0)</f>
        <v>0</v>
      </c>
      <c r="Z67">
        <f>IF(Source!BI32=4,H61+H62+H64+H65, 0)</f>
        <v>0</v>
      </c>
    </row>
    <row r="68" spans="1:26" ht="71.25" x14ac:dyDescent="0.2">
      <c r="A68" s="42" t="str">
        <f>Source!E33</f>
        <v>6</v>
      </c>
      <c r="B68" s="43" t="str">
        <f>Source!F33</f>
        <v>10-01-034-05</v>
      </c>
      <c r="C68" s="43" t="str">
        <f>Source!G33</f>
        <v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v>
      </c>
      <c r="D68" s="26" t="str">
        <f>Source!H33</f>
        <v>100 м2</v>
      </c>
      <c r="E68" s="10">
        <f>Source!I33</f>
        <v>9.9000000000000008E-3</v>
      </c>
      <c r="F68" s="27">
        <f>Source!AL33+Source!AM33+Source!AO33</f>
        <v>13073.080000000002</v>
      </c>
      <c r="G68" s="28"/>
      <c r="H68" s="27"/>
      <c r="I68" s="28" t="str">
        <f>Source!BO33</f>
        <v/>
      </c>
      <c r="J68" s="28"/>
      <c r="K68" s="27"/>
      <c r="L68" s="29"/>
      <c r="S68">
        <f>ROUND((Source!FX33/100)*((ROUND(Source!AF33*Source!I33, 2)+ROUND(Source!AE33*Source!I33, 2))), 2)</f>
        <v>24.81</v>
      </c>
      <c r="T68">
        <f>Source!X33</f>
        <v>151.80000000000001</v>
      </c>
      <c r="U68">
        <f>ROUND((Source!FY33/100)*((ROUND(Source!AF33*Source!I33, 2)+ROUND(Source!AE33*Source!I33, 2))), 2)</f>
        <v>12.51</v>
      </c>
      <c r="V68">
        <f>Source!Y33</f>
        <v>77.33</v>
      </c>
    </row>
    <row r="69" spans="1:26" x14ac:dyDescent="0.2">
      <c r="C69" s="22" t="str">
        <f>"Объем: "&amp;Source!I33&amp;"=0,99/"&amp;"100"</f>
        <v>Объем: 0,0099=0,99/100</v>
      </c>
    </row>
    <row r="70" spans="1:26" ht="14.25" x14ac:dyDescent="0.2">
      <c r="A70" s="42"/>
      <c r="B70" s="43"/>
      <c r="C70" s="43" t="s">
        <v>1302</v>
      </c>
      <c r="D70" s="26"/>
      <c r="E70" s="10"/>
      <c r="F70" s="27">
        <f>Source!AO33</f>
        <v>1639.19</v>
      </c>
      <c r="G70" s="28" t="str">
        <f>Source!DG33</f>
        <v>)*1,15)*1,2</v>
      </c>
      <c r="H70" s="27">
        <f>ROUND(Source!AF33*Source!I33, 2)</f>
        <v>22.39</v>
      </c>
      <c r="I70" s="28"/>
      <c r="J70" s="28">
        <f>IF(Source!BA33&lt;&gt; 0, Source!BA33, 1)</f>
        <v>6.13</v>
      </c>
      <c r="K70" s="27">
        <f>Source!S33</f>
        <v>137.28</v>
      </c>
      <c r="L70" s="29"/>
      <c r="R70">
        <f>H70</f>
        <v>22.39</v>
      </c>
    </row>
    <row r="71" spans="1:26" ht="14.25" x14ac:dyDescent="0.2">
      <c r="A71" s="42"/>
      <c r="B71" s="43"/>
      <c r="C71" s="43" t="s">
        <v>334</v>
      </c>
      <c r="D71" s="26"/>
      <c r="E71" s="10"/>
      <c r="F71" s="27">
        <f>Source!AM33</f>
        <v>289.60000000000002</v>
      </c>
      <c r="G71" s="28" t="str">
        <f>Source!DE33</f>
        <v>)*1,25)*1,2</v>
      </c>
      <c r="H71" s="27">
        <f>ROUND(Source!AD33*Source!I33, 2)</f>
        <v>4.3</v>
      </c>
      <c r="I71" s="28"/>
      <c r="J71" s="28">
        <f>IF(Source!BB33&lt;&gt; 0, Source!BB33, 1)</f>
        <v>6.13</v>
      </c>
      <c r="K71" s="27">
        <f>Source!Q33</f>
        <v>26.36</v>
      </c>
      <c r="L71" s="29"/>
    </row>
    <row r="72" spans="1:26" ht="14.25" x14ac:dyDescent="0.2">
      <c r="A72" s="42"/>
      <c r="B72" s="43"/>
      <c r="C72" s="43" t="s">
        <v>1303</v>
      </c>
      <c r="D72" s="26"/>
      <c r="E72" s="10"/>
      <c r="F72" s="27">
        <f>Source!AN33</f>
        <v>65.17</v>
      </c>
      <c r="G72" s="28" t="str">
        <f>Source!DF33</f>
        <v>)*1,25)*1,2</v>
      </c>
      <c r="H72" s="30">
        <f>ROUND(Source!AE33*Source!I33, 2)</f>
        <v>0.97</v>
      </c>
      <c r="I72" s="28"/>
      <c r="J72" s="28">
        <f>IF(Source!BS33&lt;&gt; 0, Source!BS33, 1)</f>
        <v>6.13</v>
      </c>
      <c r="K72" s="30">
        <f>Source!R33</f>
        <v>5.93</v>
      </c>
      <c r="L72" s="29"/>
      <c r="R72">
        <f>H72</f>
        <v>0.97</v>
      </c>
    </row>
    <row r="73" spans="1:26" ht="14.25" x14ac:dyDescent="0.2">
      <c r="A73" s="42"/>
      <c r="B73" s="43"/>
      <c r="C73" s="43" t="s">
        <v>1309</v>
      </c>
      <c r="D73" s="26"/>
      <c r="E73" s="10"/>
      <c r="F73" s="27">
        <f>Source!AL33</f>
        <v>11144.29</v>
      </c>
      <c r="G73" s="28" t="str">
        <f>Source!DD33</f>
        <v/>
      </c>
      <c r="H73" s="27">
        <f>ROUND(Source!AC33*Source!I33, 2)</f>
        <v>110.33</v>
      </c>
      <c r="I73" s="28"/>
      <c r="J73" s="28">
        <f>IF(Source!BC33&lt;&gt; 0, Source!BC33, 1)</f>
        <v>6.13</v>
      </c>
      <c r="K73" s="27">
        <f>Source!P33</f>
        <v>676.31</v>
      </c>
      <c r="L73" s="29"/>
    </row>
    <row r="74" spans="1:26" ht="14.25" x14ac:dyDescent="0.2">
      <c r="A74" s="42"/>
      <c r="B74" s="43"/>
      <c r="C74" s="43" t="s">
        <v>1304</v>
      </c>
      <c r="D74" s="26" t="s">
        <v>1305</v>
      </c>
      <c r="E74" s="10">
        <f>Source!BZ33</f>
        <v>118</v>
      </c>
      <c r="F74" s="50" t="str">
        <f>CONCATENATE(" )", Source!DL33, Source!FT33, "=", Source!FX33)</f>
        <v xml:space="preserve"> )*0,9=106,2</v>
      </c>
      <c r="G74" s="62"/>
      <c r="H74" s="27">
        <f>SUM(S68:S78)</f>
        <v>24.81</v>
      </c>
      <c r="I74" s="31"/>
      <c r="J74" s="25">
        <f>Source!AT33</f>
        <v>106</v>
      </c>
      <c r="K74" s="27">
        <f>SUM(T68:T78)</f>
        <v>151.80000000000001</v>
      </c>
      <c r="L74" s="29"/>
    </row>
    <row r="75" spans="1:26" ht="14.25" x14ac:dyDescent="0.2">
      <c r="A75" s="42"/>
      <c r="B75" s="43"/>
      <c r="C75" s="43" t="s">
        <v>1306</v>
      </c>
      <c r="D75" s="26" t="s">
        <v>1305</v>
      </c>
      <c r="E75" s="10">
        <f>Source!CA33</f>
        <v>63</v>
      </c>
      <c r="F75" s="50" t="str">
        <f>CONCATENATE(" )", Source!DM33, Source!FU33, "=", Source!FY33)</f>
        <v xml:space="preserve"> )*0,85=53,55</v>
      </c>
      <c r="G75" s="62"/>
      <c r="H75" s="27">
        <f>SUM(U68:U78)</f>
        <v>12.51</v>
      </c>
      <c r="I75" s="31"/>
      <c r="J75" s="25">
        <f>Source!AU33</f>
        <v>54</v>
      </c>
      <c r="K75" s="27">
        <f>SUM(V68:V78)</f>
        <v>77.33</v>
      </c>
      <c r="L75" s="29"/>
    </row>
    <row r="76" spans="1:26" ht="14.25" x14ac:dyDescent="0.2">
      <c r="A76" s="42"/>
      <c r="B76" s="43"/>
      <c r="C76" s="43" t="s">
        <v>1307</v>
      </c>
      <c r="D76" s="26" t="s">
        <v>1308</v>
      </c>
      <c r="E76" s="10">
        <f>Source!AQ33</f>
        <v>187.55</v>
      </c>
      <c r="F76" s="27"/>
      <c r="G76" s="28" t="str">
        <f>Source!DI33</f>
        <v>)*1,15)*1,2</v>
      </c>
      <c r="H76" s="27"/>
      <c r="I76" s="28"/>
      <c r="J76" s="28"/>
      <c r="K76" s="27"/>
      <c r="L76" s="38">
        <f>Source!U33</f>
        <v>2.5623081000000005</v>
      </c>
    </row>
    <row r="77" spans="1:26" ht="71.25" x14ac:dyDescent="0.2">
      <c r="A77" s="42" t="str">
        <f>Source!E34</f>
        <v>6,1</v>
      </c>
      <c r="B77" s="43" t="str">
        <f>Source!F34</f>
        <v>11.3.02.01-0015</v>
      </c>
      <c r="C77" s="43" t="str">
        <f>Source!G34</f>
        <v>Блок оконный пластиковый двустворчатый, с глухой и поворотно-откидной створкой, двухкамерным стеклопакетом (32 мм), площадью до 1 м2 прим.</v>
      </c>
      <c r="D77" s="26" t="str">
        <f>Source!H34</f>
        <v>м2</v>
      </c>
      <c r="E77" s="10">
        <f>Source!I34</f>
        <v>0.99</v>
      </c>
      <c r="F77" s="27">
        <f>Source!AL34+Source!AM34+Source!AO34</f>
        <v>5510.28</v>
      </c>
      <c r="G77" s="39" t="s">
        <v>3</v>
      </c>
      <c r="H77" s="27">
        <f>ROUND(Source!AC34*Source!I34, 2)+ROUND(Source!AD34*Source!I34, 2)+ROUND(Source!AF34*Source!I34, 2)</f>
        <v>5455.18</v>
      </c>
      <c r="I77" s="28"/>
      <c r="J77" s="28">
        <f>IF(Source!BC34&lt;&gt; 0, Source!BC34, 1)</f>
        <v>6.13</v>
      </c>
      <c r="K77" s="27">
        <f>Source!O34</f>
        <v>33440.239999999998</v>
      </c>
      <c r="L77" s="29"/>
      <c r="S77">
        <f>ROUND((Source!FX34/100)*((ROUND(Source!AF34*Source!I34, 2)+ROUND(Source!AE34*Source!I34, 2))), 2)</f>
        <v>0</v>
      </c>
      <c r="T77">
        <f>Source!X34</f>
        <v>0</v>
      </c>
      <c r="U77">
        <f>ROUND((Source!FY34/100)*((ROUND(Source!AF34*Source!I34, 2)+ROUND(Source!AE34*Source!I34, 2))), 2)</f>
        <v>0</v>
      </c>
      <c r="V77">
        <f>Source!Y34</f>
        <v>0</v>
      </c>
      <c r="W77">
        <f>IF(Source!BI34&lt;=1,H77, 0)</f>
        <v>5455.18</v>
      </c>
      <c r="X77">
        <f>IF(Source!BI34=2,H77, 0)</f>
        <v>0</v>
      </c>
      <c r="Y77">
        <f>IF(Source!BI34=3,H77, 0)</f>
        <v>0</v>
      </c>
      <c r="Z77">
        <f>IF(Source!BI34=4,H77, 0)</f>
        <v>0</v>
      </c>
    </row>
    <row r="78" spans="1:26" ht="14.25" x14ac:dyDescent="0.2">
      <c r="A78" s="44" t="str">
        <f>Source!E35</f>
        <v>6,2</v>
      </c>
      <c r="B78" s="45" t="str">
        <f>Source!F35</f>
        <v>11.3.02.03</v>
      </c>
      <c r="C78" s="45" t="str">
        <f>Source!G35</f>
        <v>Блоки оконные пластиковые</v>
      </c>
      <c r="D78" s="32" t="str">
        <f>Source!H35</f>
        <v>м2</v>
      </c>
      <c r="E78" s="33">
        <f>Source!I35</f>
        <v>0.99</v>
      </c>
      <c r="F78" s="34">
        <f>Source!AL35+Source!AM35+Source!AO35</f>
        <v>0</v>
      </c>
      <c r="G78" s="40" t="s">
        <v>3</v>
      </c>
      <c r="H78" s="34">
        <f>ROUND(Source!AC35*Source!I35, 2)+ROUND(Source!AD35*Source!I35, 2)+ROUND(Source!AF35*Source!I35, 2)</f>
        <v>0</v>
      </c>
      <c r="I78" s="35"/>
      <c r="J78" s="35">
        <f>IF(Source!BC35&lt;&gt; 0, Source!BC35, 1)</f>
        <v>6.13</v>
      </c>
      <c r="K78" s="34">
        <f>Source!O35</f>
        <v>0</v>
      </c>
      <c r="L78" s="41"/>
      <c r="S78">
        <f>ROUND((Source!FX35/100)*((ROUND(Source!AF35*Source!I35, 2)+ROUND(Source!AE35*Source!I35, 2))), 2)</f>
        <v>0</v>
      </c>
      <c r="T78">
        <f>Source!X35</f>
        <v>0</v>
      </c>
      <c r="U78">
        <f>ROUND((Source!FY35/100)*((ROUND(Source!AF35*Source!I35, 2)+ROUND(Source!AE35*Source!I35, 2))), 2)</f>
        <v>0</v>
      </c>
      <c r="V78">
        <f>Source!Y35</f>
        <v>0</v>
      </c>
      <c r="W78">
        <f>IF(Source!BI35&lt;=1,H78, 0)</f>
        <v>0</v>
      </c>
      <c r="X78">
        <f>IF(Source!BI35=2,H78, 0)</f>
        <v>0</v>
      </c>
      <c r="Y78">
        <f>IF(Source!BI35=3,H78, 0)</f>
        <v>0</v>
      </c>
      <c r="Z78">
        <f>IF(Source!BI35=4,H78, 0)</f>
        <v>0</v>
      </c>
    </row>
    <row r="79" spans="1:26" ht="15" x14ac:dyDescent="0.25">
      <c r="G79" s="61">
        <f>H70+H71+H73+H74+H75+SUM(H77:H78)</f>
        <v>5629.52</v>
      </c>
      <c r="H79" s="61"/>
      <c r="J79" s="61">
        <f>K70+K71+K73+K74+K75+SUM(K77:K78)</f>
        <v>34509.32</v>
      </c>
      <c r="K79" s="61"/>
      <c r="L79" s="37">
        <f>Source!U33</f>
        <v>2.5623081000000005</v>
      </c>
      <c r="O79" s="23">
        <f>G79</f>
        <v>5629.52</v>
      </c>
      <c r="P79" s="23">
        <f>J79</f>
        <v>34509.32</v>
      </c>
      <c r="Q79" s="23">
        <f>L79</f>
        <v>2.5623081000000005</v>
      </c>
      <c r="W79">
        <f>IF(Source!BI33&lt;=1,H70+H71+H73+H74+H75, 0)</f>
        <v>174.34</v>
      </c>
      <c r="X79">
        <f>IF(Source!BI33=2,H70+H71+H73+H74+H75, 0)</f>
        <v>0</v>
      </c>
      <c r="Y79">
        <f>IF(Source!BI33=3,H70+H71+H73+H74+H75, 0)</f>
        <v>0</v>
      </c>
      <c r="Z79">
        <f>IF(Source!BI33=4,H70+H71+H73+H74+H75, 0)</f>
        <v>0</v>
      </c>
    </row>
    <row r="80" spans="1:26" ht="28.5" x14ac:dyDescent="0.2">
      <c r="A80" s="42" t="str">
        <f>Source!E36</f>
        <v>7</v>
      </c>
      <c r="B80" s="43" t="str">
        <f>Source!F36</f>
        <v>10-01-035-01</v>
      </c>
      <c r="C80" s="43" t="str">
        <f>Source!G36</f>
        <v>Установка подоконных досок из ПВХ в каменных стенах толщиной до 0,51 м</v>
      </c>
      <c r="D80" s="26" t="str">
        <f>Source!H36</f>
        <v>100 м</v>
      </c>
      <c r="E80" s="10">
        <f>Source!I36</f>
        <v>8.9999999999999993E-3</v>
      </c>
      <c r="F80" s="27">
        <f>Source!AL36+Source!AM36+Source!AO36</f>
        <v>4184.0599999999995</v>
      </c>
      <c r="G80" s="28"/>
      <c r="H80" s="27"/>
      <c r="I80" s="28" t="str">
        <f>Source!BO36</f>
        <v/>
      </c>
      <c r="J80" s="28"/>
      <c r="K80" s="27"/>
      <c r="L80" s="29"/>
      <c r="S80">
        <f>ROUND((Source!FX36/100)*((ROUND(Source!AF36*Source!I36, 2)+ROUND(Source!AE36*Source!I36, 2))), 2)</f>
        <v>2.41</v>
      </c>
      <c r="T80">
        <f>Source!X36</f>
        <v>14.79</v>
      </c>
      <c r="U80">
        <f>ROUND((Source!FY36/100)*((ROUND(Source!AF36*Source!I36, 2)+ROUND(Source!AE36*Source!I36, 2))), 2)</f>
        <v>1.22</v>
      </c>
      <c r="V80">
        <f>Source!Y36</f>
        <v>7.53</v>
      </c>
    </row>
    <row r="81" spans="1:26" x14ac:dyDescent="0.2">
      <c r="C81" s="22" t="str">
        <f>"Объем: "&amp;Source!I36&amp;"=0,9/"&amp;"100"</f>
        <v>Объем: 0,009=0,9/100</v>
      </c>
    </row>
    <row r="82" spans="1:26" ht="14.25" x14ac:dyDescent="0.2">
      <c r="A82" s="42"/>
      <c r="B82" s="43"/>
      <c r="C82" s="43" t="s">
        <v>1302</v>
      </c>
      <c r="D82" s="26"/>
      <c r="E82" s="10"/>
      <c r="F82" s="27">
        <f>Source!AO36</f>
        <v>180.75</v>
      </c>
      <c r="G82" s="28" t="str">
        <f>Source!DG36</f>
        <v>)*1,15)*1,2</v>
      </c>
      <c r="H82" s="27">
        <f>ROUND(Source!AF36*Source!I36, 2)</f>
        <v>2.2400000000000002</v>
      </c>
      <c r="I82" s="28"/>
      <c r="J82" s="28">
        <f>IF(Source!BA36&lt;&gt; 0, Source!BA36, 1)</f>
        <v>6.13</v>
      </c>
      <c r="K82" s="27">
        <f>Source!S36</f>
        <v>13.76</v>
      </c>
      <c r="L82" s="29"/>
      <c r="R82">
        <f>H82</f>
        <v>2.2400000000000002</v>
      </c>
    </row>
    <row r="83" spans="1:26" ht="14.25" x14ac:dyDescent="0.2">
      <c r="A83" s="42"/>
      <c r="B83" s="43"/>
      <c r="C83" s="43" t="s">
        <v>334</v>
      </c>
      <c r="D83" s="26"/>
      <c r="E83" s="10"/>
      <c r="F83" s="27">
        <f>Source!AM36</f>
        <v>11.11</v>
      </c>
      <c r="G83" s="28" t="str">
        <f>Source!DE36</f>
        <v>)*1,25)*1,2</v>
      </c>
      <c r="H83" s="27">
        <f>ROUND(Source!AD36*Source!I36, 2)</f>
        <v>0.15</v>
      </c>
      <c r="I83" s="28"/>
      <c r="J83" s="28">
        <f>IF(Source!BB36&lt;&gt; 0, Source!BB36, 1)</f>
        <v>6.13</v>
      </c>
      <c r="K83" s="27">
        <f>Source!Q36</f>
        <v>0.92</v>
      </c>
      <c r="L83" s="29"/>
    </row>
    <row r="84" spans="1:26" ht="14.25" x14ac:dyDescent="0.2">
      <c r="A84" s="42"/>
      <c r="B84" s="43"/>
      <c r="C84" s="43" t="s">
        <v>1303</v>
      </c>
      <c r="D84" s="26"/>
      <c r="E84" s="10"/>
      <c r="F84" s="27">
        <f>Source!AN36</f>
        <v>2.2799999999999998</v>
      </c>
      <c r="G84" s="28" t="str">
        <f>Source!DF36</f>
        <v>)*1,25)*1,2</v>
      </c>
      <c r="H84" s="30">
        <f>ROUND(Source!AE36*Source!I36, 2)</f>
        <v>0.03</v>
      </c>
      <c r="I84" s="28"/>
      <c r="J84" s="28">
        <f>IF(Source!BS36&lt;&gt; 0, Source!BS36, 1)</f>
        <v>6.13</v>
      </c>
      <c r="K84" s="30">
        <f>Source!R36</f>
        <v>0.19</v>
      </c>
      <c r="L84" s="29"/>
      <c r="R84">
        <f>H84</f>
        <v>0.03</v>
      </c>
    </row>
    <row r="85" spans="1:26" ht="14.25" x14ac:dyDescent="0.2">
      <c r="A85" s="42"/>
      <c r="B85" s="43"/>
      <c r="C85" s="43" t="s">
        <v>1309</v>
      </c>
      <c r="D85" s="26"/>
      <c r="E85" s="10"/>
      <c r="F85" s="27">
        <f>Source!AL36</f>
        <v>3992.2</v>
      </c>
      <c r="G85" s="28" t="str">
        <f>Source!DD36</f>
        <v/>
      </c>
      <c r="H85" s="27">
        <f>ROUND(Source!AC36*Source!I36, 2)</f>
        <v>35.93</v>
      </c>
      <c r="I85" s="28"/>
      <c r="J85" s="28">
        <f>IF(Source!BC36&lt;&gt; 0, Source!BC36, 1)</f>
        <v>6.13</v>
      </c>
      <c r="K85" s="27">
        <f>Source!P36</f>
        <v>220.25</v>
      </c>
      <c r="L85" s="29"/>
    </row>
    <row r="86" spans="1:26" ht="14.25" x14ac:dyDescent="0.2">
      <c r="A86" s="42"/>
      <c r="B86" s="43"/>
      <c r="C86" s="43" t="s">
        <v>1304</v>
      </c>
      <c r="D86" s="26" t="s">
        <v>1305</v>
      </c>
      <c r="E86" s="10">
        <f>Source!BZ36</f>
        <v>118</v>
      </c>
      <c r="F86" s="50" t="str">
        <f>CONCATENATE(" )", Source!DL36, Source!FT36, "=", Source!FX36)</f>
        <v xml:space="preserve"> )*0,9=106,2</v>
      </c>
      <c r="G86" s="62"/>
      <c r="H86" s="27">
        <f>SUM(S80:S89)</f>
        <v>2.41</v>
      </c>
      <c r="I86" s="31"/>
      <c r="J86" s="25">
        <f>Source!AT36</f>
        <v>106</v>
      </c>
      <c r="K86" s="27">
        <f>SUM(T80:T89)</f>
        <v>14.79</v>
      </c>
      <c r="L86" s="29"/>
    </row>
    <row r="87" spans="1:26" ht="14.25" x14ac:dyDescent="0.2">
      <c r="A87" s="42"/>
      <c r="B87" s="43"/>
      <c r="C87" s="43" t="s">
        <v>1306</v>
      </c>
      <c r="D87" s="26" t="s">
        <v>1305</v>
      </c>
      <c r="E87" s="10">
        <f>Source!CA36</f>
        <v>63</v>
      </c>
      <c r="F87" s="50" t="str">
        <f>CONCATENATE(" )", Source!DM36, Source!FU36, "=", Source!FY36)</f>
        <v xml:space="preserve"> )*0,85=53,55</v>
      </c>
      <c r="G87" s="62"/>
      <c r="H87" s="27">
        <f>SUM(U80:U89)</f>
        <v>1.22</v>
      </c>
      <c r="I87" s="31"/>
      <c r="J87" s="25">
        <f>Source!AU36</f>
        <v>54</v>
      </c>
      <c r="K87" s="27">
        <f>SUM(V80:V89)</f>
        <v>7.53</v>
      </c>
      <c r="L87" s="29"/>
    </row>
    <row r="88" spans="1:26" ht="14.25" x14ac:dyDescent="0.2">
      <c r="A88" s="42"/>
      <c r="B88" s="43"/>
      <c r="C88" s="43" t="s">
        <v>1307</v>
      </c>
      <c r="D88" s="26" t="s">
        <v>1308</v>
      </c>
      <c r="E88" s="10">
        <f>Source!AQ36</f>
        <v>21.19</v>
      </c>
      <c r="F88" s="27"/>
      <c r="G88" s="28" t="str">
        <f>Source!DI36</f>
        <v>)*1,15)*1,2</v>
      </c>
      <c r="H88" s="27"/>
      <c r="I88" s="28"/>
      <c r="J88" s="28"/>
      <c r="K88" s="27"/>
      <c r="L88" s="38">
        <f>Source!U36</f>
        <v>0.26317979999999996</v>
      </c>
    </row>
    <row r="89" spans="1:26" ht="28.5" x14ac:dyDescent="0.2">
      <c r="A89" s="44" t="str">
        <f>Source!E37</f>
        <v>7,1</v>
      </c>
      <c r="B89" s="45" t="str">
        <f>Source!F37</f>
        <v>11.3.03.01-0006</v>
      </c>
      <c r="C89" s="45" t="str">
        <f>Source!G37</f>
        <v>Доски подоконные ПВХ, шириной 350 мм</v>
      </c>
      <c r="D89" s="32" t="str">
        <f>Source!H37</f>
        <v>м</v>
      </c>
      <c r="E89" s="33">
        <f>Source!I37</f>
        <v>0.9</v>
      </c>
      <c r="F89" s="34">
        <f>Source!AL37+Source!AM37+Source!AO37</f>
        <v>46.61</v>
      </c>
      <c r="G89" s="40" t="s">
        <v>3</v>
      </c>
      <c r="H89" s="34">
        <f>ROUND(Source!AC37*Source!I37, 2)+ROUND(Source!AD37*Source!I37, 2)+ROUND(Source!AF37*Source!I37, 2)</f>
        <v>41.95</v>
      </c>
      <c r="I89" s="35"/>
      <c r="J89" s="35">
        <f>IF(Source!BC37&lt;&gt; 0, Source!BC37, 1)</f>
        <v>6.13</v>
      </c>
      <c r="K89" s="34">
        <f>Source!O37</f>
        <v>257.14999999999998</v>
      </c>
      <c r="L89" s="41"/>
      <c r="S89">
        <f>ROUND((Source!FX37/100)*((ROUND(Source!AF37*Source!I37, 2)+ROUND(Source!AE37*Source!I37, 2))), 2)</f>
        <v>0</v>
      </c>
      <c r="T89">
        <f>Source!X37</f>
        <v>0</v>
      </c>
      <c r="U89">
        <f>ROUND((Source!FY37/100)*((ROUND(Source!AF37*Source!I37, 2)+ROUND(Source!AE37*Source!I37, 2))), 2)</f>
        <v>0</v>
      </c>
      <c r="V89">
        <f>Source!Y37</f>
        <v>0</v>
      </c>
      <c r="W89">
        <f>IF(Source!BI37&lt;=1,H89, 0)</f>
        <v>41.95</v>
      </c>
      <c r="X89">
        <f>IF(Source!BI37=2,H89, 0)</f>
        <v>0</v>
      </c>
      <c r="Y89">
        <f>IF(Source!BI37=3,H89, 0)</f>
        <v>0</v>
      </c>
      <c r="Z89">
        <f>IF(Source!BI37=4,H89, 0)</f>
        <v>0</v>
      </c>
    </row>
    <row r="90" spans="1:26" ht="15" x14ac:dyDescent="0.25">
      <c r="G90" s="61">
        <f>H82+H83+H85+H86+H87+SUM(H89:H89)</f>
        <v>83.9</v>
      </c>
      <c r="H90" s="61"/>
      <c r="J90" s="61">
        <f>K82+K83+K85+K86+K87+SUM(K89:K89)</f>
        <v>514.4</v>
      </c>
      <c r="K90" s="61"/>
      <c r="L90" s="37">
        <f>Source!U36</f>
        <v>0.26317979999999996</v>
      </c>
      <c r="O90" s="23">
        <f>G90</f>
        <v>83.9</v>
      </c>
      <c r="P90" s="23">
        <f>J90</f>
        <v>514.4</v>
      </c>
      <c r="Q90" s="23">
        <f>L90</f>
        <v>0.26317979999999996</v>
      </c>
      <c r="W90">
        <f>IF(Source!BI36&lt;=1,H82+H83+H85+H86+H87, 0)</f>
        <v>41.95</v>
      </c>
      <c r="X90">
        <f>IF(Source!BI36=2,H82+H83+H85+H86+H87, 0)</f>
        <v>0</v>
      </c>
      <c r="Y90">
        <f>IF(Source!BI36=3,H82+H83+H85+H86+H87, 0)</f>
        <v>0</v>
      </c>
      <c r="Z90">
        <f>IF(Source!BI36=4,H82+H83+H85+H86+H87, 0)</f>
        <v>0</v>
      </c>
    </row>
    <row r="91" spans="1:26" ht="42.75" x14ac:dyDescent="0.2">
      <c r="A91" s="42" t="str">
        <f>Source!E39</f>
        <v>8</v>
      </c>
      <c r="B91" s="43" t="str">
        <f>Source!F39</f>
        <v>12-01-010-01</v>
      </c>
      <c r="C91" s="43" t="str">
        <f>Source!G39</f>
        <v>Устройство мелких покрытий (брандмауэры, парапеты, свесы и т.п.) из листовой оцинкованной стали</v>
      </c>
      <c r="D91" s="26" t="str">
        <f>Source!H39</f>
        <v>100 м2</v>
      </c>
      <c r="E91" s="10">
        <f>Source!I39</f>
        <v>1.8E-3</v>
      </c>
      <c r="F91" s="27">
        <f>Source!AL39+Source!AM39+Source!AO39</f>
        <v>9874.2199999999993</v>
      </c>
      <c r="G91" s="28"/>
      <c r="H91" s="27"/>
      <c r="I91" s="28" t="str">
        <f>Source!BO39</f>
        <v/>
      </c>
      <c r="J91" s="28"/>
      <c r="K91" s="27"/>
      <c r="L91" s="29"/>
      <c r="S91">
        <f>ROUND((Source!FX39/100)*((ROUND(Source!AF39*Source!I39, 2)+ROUND(Source!AE39*Source!I39, 2))), 2)</f>
        <v>2.59</v>
      </c>
      <c r="T91">
        <f>Source!X39</f>
        <v>15.88</v>
      </c>
      <c r="U91">
        <f>ROUND((Source!FY39/100)*((ROUND(Source!AF39*Source!I39, 2)+ROUND(Source!AE39*Source!I39, 2))), 2)</f>
        <v>1.33</v>
      </c>
      <c r="V91">
        <f>Source!Y39</f>
        <v>8.09</v>
      </c>
    </row>
    <row r="92" spans="1:26" x14ac:dyDescent="0.2">
      <c r="C92" s="22" t="str">
        <f>"Объем: "&amp;Source!I39&amp;"=0,18/"&amp;"100"</f>
        <v>Объем: 0,0018=0,18/100</v>
      </c>
    </row>
    <row r="93" spans="1:26" ht="14.25" x14ac:dyDescent="0.2">
      <c r="A93" s="42"/>
      <c r="B93" s="43"/>
      <c r="C93" s="43" t="s">
        <v>1302</v>
      </c>
      <c r="D93" s="26"/>
      <c r="E93" s="10"/>
      <c r="F93" s="27">
        <f>Source!AO39</f>
        <v>961.76</v>
      </c>
      <c r="G93" s="28" t="str">
        <f>Source!DG39</f>
        <v>)*1,15)*1,2</v>
      </c>
      <c r="H93" s="27">
        <f>ROUND(Source!AF39*Source!I39, 2)</f>
        <v>2.39</v>
      </c>
      <c r="I93" s="28"/>
      <c r="J93" s="28">
        <f>IF(Source!BA39&lt;&gt; 0, Source!BA39, 1)</f>
        <v>6.13</v>
      </c>
      <c r="K93" s="27">
        <f>Source!S39</f>
        <v>14.64</v>
      </c>
      <c r="L93" s="29"/>
      <c r="R93">
        <f>H93</f>
        <v>2.39</v>
      </c>
    </row>
    <row r="94" spans="1:26" ht="14.25" x14ac:dyDescent="0.2">
      <c r="A94" s="42"/>
      <c r="B94" s="43"/>
      <c r="C94" s="43" t="s">
        <v>334</v>
      </c>
      <c r="D94" s="26"/>
      <c r="E94" s="10"/>
      <c r="F94" s="27">
        <f>Source!AM39</f>
        <v>21.88</v>
      </c>
      <c r="G94" s="28" t="str">
        <f>Source!DE39</f>
        <v>)*1,25)*1,2</v>
      </c>
      <c r="H94" s="27">
        <f>ROUND(Source!AD39*Source!I39, 2)</f>
        <v>0.06</v>
      </c>
      <c r="I94" s="28"/>
      <c r="J94" s="28">
        <f>IF(Source!BB39&lt;&gt; 0, Source!BB39, 1)</f>
        <v>6.13</v>
      </c>
      <c r="K94" s="27">
        <f>Source!Q39</f>
        <v>0.36</v>
      </c>
      <c r="L94" s="29"/>
    </row>
    <row r="95" spans="1:26" ht="14.25" x14ac:dyDescent="0.2">
      <c r="A95" s="42"/>
      <c r="B95" s="43"/>
      <c r="C95" s="43" t="s">
        <v>1303</v>
      </c>
      <c r="D95" s="26"/>
      <c r="E95" s="10"/>
      <c r="F95" s="27">
        <f>Source!AN39</f>
        <v>3.51</v>
      </c>
      <c r="G95" s="28" t="str">
        <f>Source!DF39</f>
        <v>)*1,25)*1,2</v>
      </c>
      <c r="H95" s="30">
        <f>ROUND(Source!AE39*Source!I39, 2)</f>
        <v>0.01</v>
      </c>
      <c r="I95" s="28"/>
      <c r="J95" s="28">
        <f>IF(Source!BS39&lt;&gt; 0, Source!BS39, 1)</f>
        <v>6.13</v>
      </c>
      <c r="K95" s="30">
        <f>Source!R39</f>
        <v>0.06</v>
      </c>
      <c r="L95" s="29"/>
      <c r="R95">
        <f>H95</f>
        <v>0.01</v>
      </c>
    </row>
    <row r="96" spans="1:26" ht="14.25" x14ac:dyDescent="0.2">
      <c r="A96" s="42"/>
      <c r="B96" s="43"/>
      <c r="C96" s="43" t="s">
        <v>1309</v>
      </c>
      <c r="D96" s="26"/>
      <c r="E96" s="10"/>
      <c r="F96" s="27">
        <f>Source!AL39</f>
        <v>8890.58</v>
      </c>
      <c r="G96" s="28" t="str">
        <f>Source!DD39</f>
        <v/>
      </c>
      <c r="H96" s="27">
        <f>ROUND(Source!AC39*Source!I39, 2)</f>
        <v>16</v>
      </c>
      <c r="I96" s="28"/>
      <c r="J96" s="28">
        <f>IF(Source!BC39&lt;&gt; 0, Source!BC39, 1)</f>
        <v>6.13</v>
      </c>
      <c r="K96" s="27">
        <f>Source!P39</f>
        <v>98.1</v>
      </c>
      <c r="L96" s="29"/>
    </row>
    <row r="97" spans="1:26" ht="14.25" x14ac:dyDescent="0.2">
      <c r="A97" s="42"/>
      <c r="B97" s="43"/>
      <c r="C97" s="43" t="s">
        <v>1304</v>
      </c>
      <c r="D97" s="26" t="s">
        <v>1305</v>
      </c>
      <c r="E97" s="10">
        <f>Source!BZ39</f>
        <v>120</v>
      </c>
      <c r="F97" s="50" t="str">
        <f>CONCATENATE(" )", Source!DL39, Source!FT39, "=", Source!FX39)</f>
        <v xml:space="preserve"> )*0,9=108</v>
      </c>
      <c r="G97" s="62"/>
      <c r="H97" s="27">
        <f>SUM(S91:S99)</f>
        <v>2.59</v>
      </c>
      <c r="I97" s="31"/>
      <c r="J97" s="25">
        <f>Source!AT39</f>
        <v>108</v>
      </c>
      <c r="K97" s="27">
        <f>SUM(T91:T99)</f>
        <v>15.88</v>
      </c>
      <c r="L97" s="29"/>
    </row>
    <row r="98" spans="1:26" ht="14.25" x14ac:dyDescent="0.2">
      <c r="A98" s="42"/>
      <c r="B98" s="43"/>
      <c r="C98" s="43" t="s">
        <v>1306</v>
      </c>
      <c r="D98" s="26" t="s">
        <v>1305</v>
      </c>
      <c r="E98" s="10">
        <f>Source!CA39</f>
        <v>65</v>
      </c>
      <c r="F98" s="50" t="str">
        <f>CONCATENATE(" )", Source!DM39, Source!FU39, "=", Source!FY39)</f>
        <v xml:space="preserve"> )*0,85=55,25</v>
      </c>
      <c r="G98" s="62"/>
      <c r="H98" s="27">
        <f>SUM(U91:U99)</f>
        <v>1.33</v>
      </c>
      <c r="I98" s="31"/>
      <c r="J98" s="25">
        <f>Source!AU39</f>
        <v>55</v>
      </c>
      <c r="K98" s="27">
        <f>SUM(V91:V99)</f>
        <v>8.09</v>
      </c>
      <c r="L98" s="29"/>
    </row>
    <row r="99" spans="1:26" ht="14.25" x14ac:dyDescent="0.2">
      <c r="A99" s="44"/>
      <c r="B99" s="45"/>
      <c r="C99" s="45" t="s">
        <v>1307</v>
      </c>
      <c r="D99" s="32" t="s">
        <v>1308</v>
      </c>
      <c r="E99" s="33">
        <f>Source!AQ39</f>
        <v>112.75</v>
      </c>
      <c r="F99" s="34"/>
      <c r="G99" s="35" t="str">
        <f>Source!DI39</f>
        <v>)*1,15)*1,2</v>
      </c>
      <c r="H99" s="34"/>
      <c r="I99" s="35"/>
      <c r="J99" s="35"/>
      <c r="K99" s="34"/>
      <c r="L99" s="36">
        <f>Source!U39</f>
        <v>0.28007100000000001</v>
      </c>
    </row>
    <row r="100" spans="1:26" ht="15" x14ac:dyDescent="0.25">
      <c r="G100" s="61">
        <f>H93+H94+H96+H97+H98</f>
        <v>22.369999999999997</v>
      </c>
      <c r="H100" s="61"/>
      <c r="J100" s="61">
        <f>K93+K94+K96+K97+K98</f>
        <v>137.07</v>
      </c>
      <c r="K100" s="61"/>
      <c r="L100" s="37">
        <f>Source!U39</f>
        <v>0.28007100000000001</v>
      </c>
      <c r="O100" s="23">
        <f>G100</f>
        <v>22.369999999999997</v>
      </c>
      <c r="P100" s="23">
        <f>J100</f>
        <v>137.07</v>
      </c>
      <c r="Q100" s="23">
        <f>L100</f>
        <v>0.28007100000000001</v>
      </c>
      <c r="W100">
        <f>IF(Source!BI39&lt;=1,H93+H94+H96+H97+H98, 0)</f>
        <v>22.369999999999997</v>
      </c>
      <c r="X100">
        <f>IF(Source!BI39=2,H93+H94+H96+H97+H98, 0)</f>
        <v>0</v>
      </c>
      <c r="Y100">
        <f>IF(Source!BI39=3,H93+H94+H96+H97+H98, 0)</f>
        <v>0</v>
      </c>
      <c r="Z100">
        <f>IF(Source!BI39=4,H93+H94+H96+H97+H98, 0)</f>
        <v>0</v>
      </c>
    </row>
    <row r="101" spans="1:26" ht="57" x14ac:dyDescent="0.2">
      <c r="A101" s="42" t="str">
        <f>Source!E40</f>
        <v>9</v>
      </c>
      <c r="B101" s="43" t="str">
        <f>Source!F40</f>
        <v>10-01-047-01</v>
      </c>
      <c r="C101" s="43" t="str">
        <f>Source!G40</f>
        <v>Установка блоков из ПВХ в наружных и внутренних дверных проемах в каменных стенах площадью проема до 3 м2</v>
      </c>
      <c r="D101" s="26" t="str">
        <f>Source!H40</f>
        <v>100 м2</v>
      </c>
      <c r="E101" s="10">
        <f>Source!I40</f>
        <v>0.192</v>
      </c>
      <c r="F101" s="27">
        <f>Source!AL40+Source!AM40+Source!AO40</f>
        <v>15965.86</v>
      </c>
      <c r="G101" s="28"/>
      <c r="H101" s="27"/>
      <c r="I101" s="28" t="str">
        <f>Source!BO40</f>
        <v/>
      </c>
      <c r="J101" s="28"/>
      <c r="K101" s="27"/>
      <c r="L101" s="29"/>
      <c r="S101">
        <f>ROUND((Source!FX40/100)*((ROUND(Source!AF40*Source!I40, 2)+ROUND(Source!AE40*Source!I40, 2))), 2)</f>
        <v>518.12</v>
      </c>
      <c r="T101">
        <f>Source!X40</f>
        <v>3170.08</v>
      </c>
      <c r="U101">
        <f>ROUND((Source!FY40/100)*((ROUND(Source!AF40*Source!I40, 2)+ROUND(Source!AE40*Source!I40, 2))), 2)</f>
        <v>261.25</v>
      </c>
      <c r="V101">
        <f>Source!Y40</f>
        <v>1614.95</v>
      </c>
    </row>
    <row r="102" spans="1:26" x14ac:dyDescent="0.2">
      <c r="C102" s="22" t="str">
        <f>"Объем: "&amp;Source!I40&amp;"=19,2/"&amp;"100"</f>
        <v>Объем: 0,192=19,2/100</v>
      </c>
    </row>
    <row r="103" spans="1:26" ht="14.25" x14ac:dyDescent="0.2">
      <c r="A103" s="42"/>
      <c r="B103" s="43"/>
      <c r="C103" s="43" t="s">
        <v>1302</v>
      </c>
      <c r="D103" s="26"/>
      <c r="E103" s="10"/>
      <c r="F103" s="27">
        <f>Source!AO40</f>
        <v>1780.86</v>
      </c>
      <c r="G103" s="28" t="str">
        <f>Source!DG40</f>
        <v>)*1,15)*1,2</v>
      </c>
      <c r="H103" s="27">
        <f>ROUND(Source!AF40*Source!I40, 2)</f>
        <v>471.86</v>
      </c>
      <c r="I103" s="28"/>
      <c r="J103" s="28">
        <f>IF(Source!BA40&lt;&gt; 0, Source!BA40, 1)</f>
        <v>6.13</v>
      </c>
      <c r="K103" s="27">
        <f>Source!S40</f>
        <v>2892.49</v>
      </c>
      <c r="L103" s="29"/>
      <c r="R103">
        <f>H103</f>
        <v>471.86</v>
      </c>
    </row>
    <row r="104" spans="1:26" ht="14.25" x14ac:dyDescent="0.2">
      <c r="A104" s="42"/>
      <c r="B104" s="43"/>
      <c r="C104" s="43" t="s">
        <v>334</v>
      </c>
      <c r="D104" s="26"/>
      <c r="E104" s="10"/>
      <c r="F104" s="27">
        <f>Source!AM40</f>
        <v>267.39999999999998</v>
      </c>
      <c r="G104" s="28" t="str">
        <f>Source!DE40</f>
        <v>)*1,25)*1,2</v>
      </c>
      <c r="H104" s="27">
        <f>ROUND(Source!AD40*Source!I40, 2)</f>
        <v>77.010000000000005</v>
      </c>
      <c r="I104" s="28"/>
      <c r="J104" s="28">
        <f>IF(Source!BB40&lt;&gt; 0, Source!BB40, 1)</f>
        <v>6.13</v>
      </c>
      <c r="K104" s="27">
        <f>Source!Q40</f>
        <v>472.09</v>
      </c>
      <c r="L104" s="29"/>
    </row>
    <row r="105" spans="1:26" ht="14.25" x14ac:dyDescent="0.2">
      <c r="A105" s="42"/>
      <c r="B105" s="43"/>
      <c r="C105" s="43" t="s">
        <v>1303</v>
      </c>
      <c r="D105" s="26"/>
      <c r="E105" s="10"/>
      <c r="F105" s="27">
        <f>Source!AN40</f>
        <v>55.59</v>
      </c>
      <c r="G105" s="28" t="str">
        <f>Source!DF40</f>
        <v>)*1,25)*1,2</v>
      </c>
      <c r="H105" s="30">
        <f>ROUND(Source!AE40*Source!I40, 2)</f>
        <v>16.010000000000002</v>
      </c>
      <c r="I105" s="28"/>
      <c r="J105" s="28">
        <f>IF(Source!BS40&lt;&gt; 0, Source!BS40, 1)</f>
        <v>6.13</v>
      </c>
      <c r="K105" s="30">
        <f>Source!R40</f>
        <v>98.15</v>
      </c>
      <c r="L105" s="29"/>
      <c r="R105">
        <f>H105</f>
        <v>16.010000000000002</v>
      </c>
    </row>
    <row r="106" spans="1:26" ht="14.25" x14ac:dyDescent="0.2">
      <c r="A106" s="42"/>
      <c r="B106" s="43"/>
      <c r="C106" s="43" t="s">
        <v>1309</v>
      </c>
      <c r="D106" s="26"/>
      <c r="E106" s="10"/>
      <c r="F106" s="27">
        <f>Source!AL40</f>
        <v>13917.6</v>
      </c>
      <c r="G106" s="28" t="str">
        <f>Source!DD40</f>
        <v/>
      </c>
      <c r="H106" s="27">
        <f>ROUND(Source!AC40*Source!I40, 2)</f>
        <v>2672.18</v>
      </c>
      <c r="I106" s="28"/>
      <c r="J106" s="28">
        <f>IF(Source!BC40&lt;&gt; 0, Source!BC40, 1)</f>
        <v>6.13</v>
      </c>
      <c r="K106" s="27">
        <f>Source!P40</f>
        <v>16380.46</v>
      </c>
      <c r="L106" s="29"/>
    </row>
    <row r="107" spans="1:26" ht="14.25" x14ac:dyDescent="0.2">
      <c r="A107" s="42"/>
      <c r="B107" s="43"/>
      <c r="C107" s="43" t="s">
        <v>1304</v>
      </c>
      <c r="D107" s="26" t="s">
        <v>1305</v>
      </c>
      <c r="E107" s="10">
        <f>Source!BZ40</f>
        <v>118</v>
      </c>
      <c r="F107" s="50" t="str">
        <f>CONCATENATE(" )", Source!DL40, Source!FT40, "=", Source!FX40)</f>
        <v xml:space="preserve"> )*0,9=106,2</v>
      </c>
      <c r="G107" s="62"/>
      <c r="H107" s="27">
        <f>SUM(S101:S111)</f>
        <v>518.12</v>
      </c>
      <c r="I107" s="31"/>
      <c r="J107" s="25">
        <f>Source!AT40</f>
        <v>106</v>
      </c>
      <c r="K107" s="27">
        <f>SUM(T101:T111)</f>
        <v>3170.08</v>
      </c>
      <c r="L107" s="29"/>
    </row>
    <row r="108" spans="1:26" ht="14.25" x14ac:dyDescent="0.2">
      <c r="A108" s="42"/>
      <c r="B108" s="43"/>
      <c r="C108" s="43" t="s">
        <v>1306</v>
      </c>
      <c r="D108" s="26" t="s">
        <v>1305</v>
      </c>
      <c r="E108" s="10">
        <f>Source!CA40</f>
        <v>63</v>
      </c>
      <c r="F108" s="50" t="str">
        <f>CONCATENATE(" )", Source!DM40, Source!FU40, "=", Source!FY40)</f>
        <v xml:space="preserve"> )*0,85=53,55</v>
      </c>
      <c r="G108" s="62"/>
      <c r="H108" s="27">
        <f>SUM(U101:U111)</f>
        <v>261.25</v>
      </c>
      <c r="I108" s="31"/>
      <c r="J108" s="25">
        <f>Source!AU40</f>
        <v>54</v>
      </c>
      <c r="K108" s="27">
        <f>SUM(V101:V111)</f>
        <v>1614.95</v>
      </c>
      <c r="L108" s="29"/>
    </row>
    <row r="109" spans="1:26" ht="14.25" x14ac:dyDescent="0.2">
      <c r="A109" s="42"/>
      <c r="B109" s="43"/>
      <c r="C109" s="43" t="s">
        <v>1307</v>
      </c>
      <c r="D109" s="26" t="s">
        <v>1308</v>
      </c>
      <c r="E109" s="10">
        <f>Source!AQ40</f>
        <v>201</v>
      </c>
      <c r="F109" s="27"/>
      <c r="G109" s="28" t="str">
        <f>Source!DI40</f>
        <v>)*1,15)*1,2</v>
      </c>
      <c r="H109" s="27"/>
      <c r="I109" s="28"/>
      <c r="J109" s="28"/>
      <c r="K109" s="27"/>
      <c r="L109" s="38">
        <f>Source!U40</f>
        <v>53.256959999999992</v>
      </c>
    </row>
    <row r="110" spans="1:26" ht="57" x14ac:dyDescent="0.2">
      <c r="A110" s="42" t="str">
        <f>Source!E41</f>
        <v>9,1</v>
      </c>
      <c r="B110" s="43" t="str">
        <f>Source!F41</f>
        <v>11.3.01.02-0021</v>
      </c>
      <c r="C110" s="43" t="str">
        <f>Source!G41</f>
        <v>Блоки дверные входные пластиковые с простой коробкой, однопольная с простой фурнитурой, без стеклопакета по типу сэндвич, площадь от 1,5-2 м2</v>
      </c>
      <c r="D110" s="26" t="str">
        <f>Source!H41</f>
        <v>м2</v>
      </c>
      <c r="E110" s="10">
        <f>Source!I41</f>
        <v>19.2</v>
      </c>
      <c r="F110" s="27">
        <f>Source!AL41+Source!AM41+Source!AO41</f>
        <v>1555.36</v>
      </c>
      <c r="G110" s="39" t="s">
        <v>3</v>
      </c>
      <c r="H110" s="27">
        <f>ROUND(Source!AC41*Source!I41, 2)+ROUND(Source!AD41*Source!I41, 2)+ROUND(Source!AF41*Source!I41, 2)</f>
        <v>29862.91</v>
      </c>
      <c r="I110" s="28"/>
      <c r="J110" s="28">
        <f>IF(Source!BC41&lt;&gt; 0, Source!BC41, 1)</f>
        <v>6.13</v>
      </c>
      <c r="K110" s="27">
        <f>Source!O41</f>
        <v>183059.65</v>
      </c>
      <c r="L110" s="29"/>
      <c r="S110">
        <f>ROUND((Source!FX41/100)*((ROUND(Source!AF41*Source!I41, 2)+ROUND(Source!AE41*Source!I41, 2))), 2)</f>
        <v>0</v>
      </c>
      <c r="T110">
        <f>Source!X41</f>
        <v>0</v>
      </c>
      <c r="U110">
        <f>ROUND((Source!FY41/100)*((ROUND(Source!AF41*Source!I41, 2)+ROUND(Source!AE41*Source!I41, 2))), 2)</f>
        <v>0</v>
      </c>
      <c r="V110">
        <f>Source!Y41</f>
        <v>0</v>
      </c>
      <c r="W110">
        <f>IF(Source!BI41&lt;=1,H110, 0)</f>
        <v>29862.91</v>
      </c>
      <c r="X110">
        <f>IF(Source!BI41=2,H110, 0)</f>
        <v>0</v>
      </c>
      <c r="Y110">
        <f>IF(Source!BI41=3,H110, 0)</f>
        <v>0</v>
      </c>
      <c r="Z110">
        <f>IF(Source!BI41=4,H110, 0)</f>
        <v>0</v>
      </c>
    </row>
    <row r="111" spans="1:26" ht="14.25" x14ac:dyDescent="0.2">
      <c r="A111" s="44" t="str">
        <f>Source!E42</f>
        <v>9,2</v>
      </c>
      <c r="B111" s="45" t="str">
        <f>Source!F42</f>
        <v>11.3.01.05</v>
      </c>
      <c r="C111" s="45" t="str">
        <f>Source!G42</f>
        <v>Блоки дверные входные пластиковые</v>
      </c>
      <c r="D111" s="32" t="str">
        <f>Source!H42</f>
        <v>м2</v>
      </c>
      <c r="E111" s="33">
        <f>Source!I42</f>
        <v>19.2</v>
      </c>
      <c r="F111" s="34">
        <f>Source!AL42+Source!AM42+Source!AO42</f>
        <v>0</v>
      </c>
      <c r="G111" s="40" t="s">
        <v>3</v>
      </c>
      <c r="H111" s="34">
        <f>ROUND(Source!AC42*Source!I42, 2)+ROUND(Source!AD42*Source!I42, 2)+ROUND(Source!AF42*Source!I42, 2)</f>
        <v>0</v>
      </c>
      <c r="I111" s="35"/>
      <c r="J111" s="35">
        <f>IF(Source!BC42&lt;&gt; 0, Source!BC42, 1)</f>
        <v>6.13</v>
      </c>
      <c r="K111" s="34">
        <f>Source!O42</f>
        <v>0</v>
      </c>
      <c r="L111" s="41"/>
      <c r="S111">
        <f>ROUND((Source!FX42/100)*((ROUND(Source!AF42*Source!I42, 2)+ROUND(Source!AE42*Source!I42, 2))), 2)</f>
        <v>0</v>
      </c>
      <c r="T111">
        <f>Source!X42</f>
        <v>0</v>
      </c>
      <c r="U111">
        <f>ROUND((Source!FY42/100)*((ROUND(Source!AF42*Source!I42, 2)+ROUND(Source!AE42*Source!I42, 2))), 2)</f>
        <v>0</v>
      </c>
      <c r="V111">
        <f>Source!Y42</f>
        <v>0</v>
      </c>
      <c r="W111">
        <f>IF(Source!BI42&lt;=1,H111, 0)</f>
        <v>0</v>
      </c>
      <c r="X111">
        <f>IF(Source!BI42=2,H111, 0)</f>
        <v>0</v>
      </c>
      <c r="Y111">
        <f>IF(Source!BI42=3,H111, 0)</f>
        <v>0</v>
      </c>
      <c r="Z111">
        <f>IF(Source!BI42=4,H111, 0)</f>
        <v>0</v>
      </c>
    </row>
    <row r="112" spans="1:26" ht="15" x14ac:dyDescent="0.25">
      <c r="G112" s="61">
        <f>H103+H104+H106+H107+H108+SUM(H110:H111)</f>
        <v>33863.33</v>
      </c>
      <c r="H112" s="61"/>
      <c r="J112" s="61">
        <f>K103+K104+K106+K107+K108+SUM(K110:K111)</f>
        <v>207589.72</v>
      </c>
      <c r="K112" s="61"/>
      <c r="L112" s="37">
        <f>Source!U40</f>
        <v>53.256959999999992</v>
      </c>
      <c r="O112" s="23">
        <f>G112</f>
        <v>33863.33</v>
      </c>
      <c r="P112" s="23">
        <f>J112</f>
        <v>207589.72</v>
      </c>
      <c r="Q112" s="23">
        <f>L112</f>
        <v>53.256959999999992</v>
      </c>
      <c r="W112">
        <f>IF(Source!BI40&lt;=1,H103+H104+H106+H107+H108, 0)</f>
        <v>4000.4199999999996</v>
      </c>
      <c r="X112">
        <f>IF(Source!BI40=2,H103+H104+H106+H107+H108, 0)</f>
        <v>0</v>
      </c>
      <c r="Y112">
        <f>IF(Source!BI40=3,H103+H104+H106+H107+H108, 0)</f>
        <v>0</v>
      </c>
      <c r="Z112">
        <f>IF(Source!BI40=4,H103+H104+H106+H107+H108, 0)</f>
        <v>0</v>
      </c>
    </row>
    <row r="113" spans="1:26" ht="14.25" x14ac:dyDescent="0.2">
      <c r="A113" s="42" t="str">
        <f>Source!E43</f>
        <v>10</v>
      </c>
      <c r="B113" s="43" t="str">
        <f>Source!F43</f>
        <v>10-01-060-01</v>
      </c>
      <c r="C113" s="43" t="str">
        <f>Source!G43</f>
        <v>Установка и крепление наличников</v>
      </c>
      <c r="D113" s="26" t="str">
        <f>Source!H43</f>
        <v>100 м</v>
      </c>
      <c r="E113" s="10">
        <f>Source!I43</f>
        <v>1.76</v>
      </c>
      <c r="F113" s="27">
        <f>Source!AL43+Source!AM43+Source!AO43</f>
        <v>75.02</v>
      </c>
      <c r="G113" s="28"/>
      <c r="H113" s="27"/>
      <c r="I113" s="28" t="str">
        <f>Source!BO43</f>
        <v/>
      </c>
      <c r="J113" s="28"/>
      <c r="K113" s="27"/>
      <c r="L113" s="29"/>
      <c r="S113">
        <f>ROUND((Source!FX43/100)*((ROUND(Source!AF43*Source!I43, 2)+ROUND(Source!AE43*Source!I43, 2))), 2)</f>
        <v>166.09</v>
      </c>
      <c r="T113">
        <f>Source!X43</f>
        <v>1016.21</v>
      </c>
      <c r="U113">
        <f>ROUND((Source!FY43/100)*((ROUND(Source!AF43*Source!I43, 2)+ROUND(Source!AE43*Source!I43, 2))), 2)</f>
        <v>83.75</v>
      </c>
      <c r="V113">
        <f>Source!Y43</f>
        <v>517.69000000000005</v>
      </c>
    </row>
    <row r="114" spans="1:26" x14ac:dyDescent="0.2">
      <c r="C114" s="22" t="str">
        <f>"Объем: "&amp;Source!I43&amp;"=176/"&amp;"100"</f>
        <v>Объем: 1,76=176/100</v>
      </c>
    </row>
    <row r="115" spans="1:26" ht="14.25" x14ac:dyDescent="0.2">
      <c r="A115" s="42"/>
      <c r="B115" s="43"/>
      <c r="C115" s="43" t="s">
        <v>1302</v>
      </c>
      <c r="D115" s="26"/>
      <c r="E115" s="10"/>
      <c r="F115" s="27">
        <f>Source!AO43</f>
        <v>63.89</v>
      </c>
      <c r="G115" s="28" t="str">
        <f>Source!DG43</f>
        <v>)*1,15)*1,2</v>
      </c>
      <c r="H115" s="27">
        <f>ROUND(Source!AF43*Source!I43, 2)</f>
        <v>155.18</v>
      </c>
      <c r="I115" s="28"/>
      <c r="J115" s="28">
        <f>IF(Source!BA43&lt;&gt; 0, Source!BA43, 1)</f>
        <v>6.13</v>
      </c>
      <c r="K115" s="27">
        <f>Source!S43</f>
        <v>951.25</v>
      </c>
      <c r="L115" s="29"/>
      <c r="R115">
        <f>H115</f>
        <v>155.18</v>
      </c>
    </row>
    <row r="116" spans="1:26" ht="14.25" x14ac:dyDescent="0.2">
      <c r="A116" s="42"/>
      <c r="B116" s="43"/>
      <c r="C116" s="43" t="s">
        <v>334</v>
      </c>
      <c r="D116" s="26"/>
      <c r="E116" s="10"/>
      <c r="F116" s="27">
        <f>Source!AM43</f>
        <v>2.63</v>
      </c>
      <c r="G116" s="28" t="str">
        <f>Source!DE43</f>
        <v>)*1,25)*1,2</v>
      </c>
      <c r="H116" s="27">
        <f>ROUND(Source!AD43*Source!I43, 2)</f>
        <v>6.95</v>
      </c>
      <c r="I116" s="28"/>
      <c r="J116" s="28">
        <f>IF(Source!BB43&lt;&gt; 0, Source!BB43, 1)</f>
        <v>6.13</v>
      </c>
      <c r="K116" s="27">
        <f>Source!Q43</f>
        <v>42.62</v>
      </c>
      <c r="L116" s="29"/>
    </row>
    <row r="117" spans="1:26" ht="14.25" x14ac:dyDescent="0.2">
      <c r="A117" s="42"/>
      <c r="B117" s="43"/>
      <c r="C117" s="43" t="s">
        <v>1303</v>
      </c>
      <c r="D117" s="26"/>
      <c r="E117" s="10"/>
      <c r="F117" s="27">
        <f>Source!AN43</f>
        <v>0.46</v>
      </c>
      <c r="G117" s="28" t="str">
        <f>Source!DF43</f>
        <v>)*1,25)*1,2</v>
      </c>
      <c r="H117" s="30">
        <f>ROUND(Source!AE43*Source!I43, 2)</f>
        <v>1.21</v>
      </c>
      <c r="I117" s="28"/>
      <c r="J117" s="28">
        <f>IF(Source!BS43&lt;&gt; 0, Source!BS43, 1)</f>
        <v>6.13</v>
      </c>
      <c r="K117" s="30">
        <f>Source!R43</f>
        <v>7.44</v>
      </c>
      <c r="L117" s="29"/>
      <c r="R117">
        <f>H117</f>
        <v>1.21</v>
      </c>
    </row>
    <row r="118" spans="1:26" ht="14.25" x14ac:dyDescent="0.2">
      <c r="A118" s="42"/>
      <c r="B118" s="43"/>
      <c r="C118" s="43" t="s">
        <v>1309</v>
      </c>
      <c r="D118" s="26"/>
      <c r="E118" s="10"/>
      <c r="F118" s="27">
        <f>Source!AL43</f>
        <v>8.5</v>
      </c>
      <c r="G118" s="28" t="str">
        <f>Source!DD43</f>
        <v/>
      </c>
      <c r="H118" s="27">
        <f>ROUND(Source!AC43*Source!I43, 2)</f>
        <v>14.96</v>
      </c>
      <c r="I118" s="28"/>
      <c r="J118" s="28">
        <f>IF(Source!BC43&lt;&gt; 0, Source!BC43, 1)</f>
        <v>6.13</v>
      </c>
      <c r="K118" s="27">
        <f>Source!P43</f>
        <v>91.7</v>
      </c>
      <c r="L118" s="29"/>
    </row>
    <row r="119" spans="1:26" ht="14.25" x14ac:dyDescent="0.2">
      <c r="A119" s="42"/>
      <c r="B119" s="43"/>
      <c r="C119" s="43" t="s">
        <v>1304</v>
      </c>
      <c r="D119" s="26" t="s">
        <v>1305</v>
      </c>
      <c r="E119" s="10">
        <f>Source!BZ43</f>
        <v>118</v>
      </c>
      <c r="F119" s="50" t="str">
        <f>CONCATENATE(" )", Source!DL43, Source!FT43, "=", Source!FX43)</f>
        <v xml:space="preserve"> )*0,9=106,2</v>
      </c>
      <c r="G119" s="62"/>
      <c r="H119" s="27">
        <f>SUM(S113:S123)</f>
        <v>166.09</v>
      </c>
      <c r="I119" s="31"/>
      <c r="J119" s="25">
        <f>Source!AT43</f>
        <v>106</v>
      </c>
      <c r="K119" s="27">
        <f>SUM(T113:T123)</f>
        <v>1016.21</v>
      </c>
      <c r="L119" s="29"/>
    </row>
    <row r="120" spans="1:26" ht="14.25" x14ac:dyDescent="0.2">
      <c r="A120" s="42"/>
      <c r="B120" s="43"/>
      <c r="C120" s="43" t="s">
        <v>1306</v>
      </c>
      <c r="D120" s="26" t="s">
        <v>1305</v>
      </c>
      <c r="E120" s="10">
        <f>Source!CA43</f>
        <v>63</v>
      </c>
      <c r="F120" s="50" t="str">
        <f>CONCATENATE(" )", Source!DM43, Source!FU43, "=", Source!FY43)</f>
        <v xml:space="preserve"> )*0,85=53,55</v>
      </c>
      <c r="G120" s="62"/>
      <c r="H120" s="27">
        <f>SUM(U113:U123)</f>
        <v>83.75</v>
      </c>
      <c r="I120" s="31"/>
      <c r="J120" s="25">
        <f>Source!AU43</f>
        <v>54</v>
      </c>
      <c r="K120" s="27">
        <f>SUM(V113:V123)</f>
        <v>517.69000000000005</v>
      </c>
      <c r="L120" s="29"/>
    </row>
    <row r="121" spans="1:26" ht="14.25" x14ac:dyDescent="0.2">
      <c r="A121" s="42"/>
      <c r="B121" s="43"/>
      <c r="C121" s="43" t="s">
        <v>1307</v>
      </c>
      <c r="D121" s="26" t="s">
        <v>1308</v>
      </c>
      <c r="E121" s="10">
        <f>Source!AQ43</f>
        <v>7.82</v>
      </c>
      <c r="F121" s="27"/>
      <c r="G121" s="28" t="str">
        <f>Source!DI43</f>
        <v>)*1,15)*1,2</v>
      </c>
      <c r="H121" s="27"/>
      <c r="I121" s="28"/>
      <c r="J121" s="28"/>
      <c r="K121" s="27"/>
      <c r="L121" s="38">
        <f>Source!U43</f>
        <v>18.993216</v>
      </c>
    </row>
    <row r="122" spans="1:26" ht="14.25" x14ac:dyDescent="0.2">
      <c r="A122" s="42" t="str">
        <f>Source!E44</f>
        <v>10,1</v>
      </c>
      <c r="B122" s="43" t="str">
        <f>Source!F44</f>
        <v>11.3.03.02-0003</v>
      </c>
      <c r="C122" s="43" t="str">
        <f>Source!G44</f>
        <v>Наличники из ПВХ, шириной 60 мм</v>
      </c>
      <c r="D122" s="26" t="str">
        <f>Source!H44</f>
        <v>м</v>
      </c>
      <c r="E122" s="10">
        <f>Source!I44</f>
        <v>197.12</v>
      </c>
      <c r="F122" s="27">
        <f>Source!AL44+Source!AM44+Source!AO44</f>
        <v>33.380000000000003</v>
      </c>
      <c r="G122" s="39" t="s">
        <v>3</v>
      </c>
      <c r="H122" s="27">
        <f>ROUND(Source!AC44*Source!I44, 2)+ROUND(Source!AD44*Source!I44, 2)+ROUND(Source!AF44*Source!I44, 2)</f>
        <v>6579.87</v>
      </c>
      <c r="I122" s="28"/>
      <c r="J122" s="28">
        <f>IF(Source!BC44&lt;&gt; 0, Source!BC44, 1)</f>
        <v>6.13</v>
      </c>
      <c r="K122" s="27">
        <f>Source!O44</f>
        <v>40334.58</v>
      </c>
      <c r="L122" s="29"/>
      <c r="S122">
        <f>ROUND((Source!FX44/100)*((ROUND(Source!AF44*Source!I44, 2)+ROUND(Source!AE44*Source!I44, 2))), 2)</f>
        <v>0</v>
      </c>
      <c r="T122">
        <f>Source!X44</f>
        <v>0</v>
      </c>
      <c r="U122">
        <f>ROUND((Source!FY44/100)*((ROUND(Source!AF44*Source!I44, 2)+ROUND(Source!AE44*Source!I44, 2))), 2)</f>
        <v>0</v>
      </c>
      <c r="V122">
        <f>Source!Y44</f>
        <v>0</v>
      </c>
      <c r="W122">
        <f>IF(Source!BI44&lt;=1,H122, 0)</f>
        <v>6579.87</v>
      </c>
      <c r="X122">
        <f>IF(Source!BI44=2,H122, 0)</f>
        <v>0</v>
      </c>
      <c r="Y122">
        <f>IF(Source!BI44=3,H122, 0)</f>
        <v>0</v>
      </c>
      <c r="Z122">
        <f>IF(Source!BI44=4,H122, 0)</f>
        <v>0</v>
      </c>
    </row>
    <row r="123" spans="1:26" ht="14.25" x14ac:dyDescent="0.2">
      <c r="A123" s="44" t="str">
        <f>Source!E45</f>
        <v>10,2</v>
      </c>
      <c r="B123" s="45" t="str">
        <f>Source!F45</f>
        <v>11.1.01.10</v>
      </c>
      <c r="C123" s="45" t="str">
        <f>Source!G45</f>
        <v>Наличники</v>
      </c>
      <c r="D123" s="32" t="str">
        <f>Source!H45</f>
        <v>м</v>
      </c>
      <c r="E123" s="33">
        <f>Source!I45</f>
        <v>197.12</v>
      </c>
      <c r="F123" s="34">
        <f>Source!AL45+Source!AM45+Source!AO45</f>
        <v>0</v>
      </c>
      <c r="G123" s="40" t="s">
        <v>3</v>
      </c>
      <c r="H123" s="34">
        <f>ROUND(Source!AC45*Source!I45, 2)+ROUND(Source!AD45*Source!I45, 2)+ROUND(Source!AF45*Source!I45, 2)</f>
        <v>0</v>
      </c>
      <c r="I123" s="35"/>
      <c r="J123" s="35">
        <f>IF(Source!BC45&lt;&gt; 0, Source!BC45, 1)</f>
        <v>6.13</v>
      </c>
      <c r="K123" s="34">
        <f>Source!O45</f>
        <v>0</v>
      </c>
      <c r="L123" s="41"/>
      <c r="S123">
        <f>ROUND((Source!FX45/100)*((ROUND(Source!AF45*Source!I45, 2)+ROUND(Source!AE45*Source!I45, 2))), 2)</f>
        <v>0</v>
      </c>
      <c r="T123">
        <f>Source!X45</f>
        <v>0</v>
      </c>
      <c r="U123">
        <f>ROUND((Source!FY45/100)*((ROUND(Source!AF45*Source!I45, 2)+ROUND(Source!AE45*Source!I45, 2))), 2)</f>
        <v>0</v>
      </c>
      <c r="V123">
        <f>Source!Y45</f>
        <v>0</v>
      </c>
      <c r="W123">
        <f>IF(Source!BI45&lt;=1,H123, 0)</f>
        <v>0</v>
      </c>
      <c r="X123">
        <f>IF(Source!BI45=2,H123, 0)</f>
        <v>0</v>
      </c>
      <c r="Y123">
        <f>IF(Source!BI45=3,H123, 0)</f>
        <v>0</v>
      </c>
      <c r="Z123">
        <f>IF(Source!BI45=4,H123, 0)</f>
        <v>0</v>
      </c>
    </row>
    <row r="124" spans="1:26" ht="15" x14ac:dyDescent="0.25">
      <c r="G124" s="61">
        <f>H115+H116+H118+H119+H120+SUM(H122:H123)</f>
        <v>7006.8</v>
      </c>
      <c r="H124" s="61"/>
      <c r="J124" s="61">
        <f>K115+K116+K118+K119+K120+SUM(K122:K123)</f>
        <v>42954.05</v>
      </c>
      <c r="K124" s="61"/>
      <c r="L124" s="37">
        <f>Source!U43</f>
        <v>18.993216</v>
      </c>
      <c r="O124" s="23">
        <f>G124</f>
        <v>7006.8</v>
      </c>
      <c r="P124" s="23">
        <f>J124</f>
        <v>42954.05</v>
      </c>
      <c r="Q124" s="23">
        <f>L124</f>
        <v>18.993216</v>
      </c>
      <c r="W124">
        <f>IF(Source!BI43&lt;=1,H115+H116+H118+H119+H120, 0)</f>
        <v>426.93</v>
      </c>
      <c r="X124">
        <f>IF(Source!BI43=2,H115+H116+H118+H119+H120, 0)</f>
        <v>0</v>
      </c>
      <c r="Y124">
        <f>IF(Source!BI43=3,H115+H116+H118+H119+H120, 0)</f>
        <v>0</v>
      </c>
      <c r="Z124">
        <f>IF(Source!BI43=4,H115+H116+H118+H119+H120, 0)</f>
        <v>0</v>
      </c>
    </row>
    <row r="125" spans="1:26" ht="99.75" x14ac:dyDescent="0.2">
      <c r="A125" s="42" t="str">
        <f>Source!E46</f>
        <v>11</v>
      </c>
      <c r="B125" s="43" t="str">
        <f>Source!F46</f>
        <v>10-04-010-02</v>
      </c>
      <c r="C125" s="43" t="str">
        <f>Source!G46</f>
        <v>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два слоя без изоляции</v>
      </c>
      <c r="D125" s="26" t="str">
        <f>Source!H46</f>
        <v>100 м2</v>
      </c>
      <c r="E125" s="10">
        <f>Source!I46</f>
        <v>0.76600000000000001</v>
      </c>
      <c r="F125" s="27">
        <f>Source!AL46+Source!AM46+Source!AO46</f>
        <v>7167.5</v>
      </c>
      <c r="G125" s="28"/>
      <c r="H125" s="27"/>
      <c r="I125" s="28" t="str">
        <f>Source!BO46</f>
        <v/>
      </c>
      <c r="J125" s="28"/>
      <c r="K125" s="27"/>
      <c r="L125" s="29"/>
      <c r="S125">
        <f>ROUND((Source!FX46/100)*((ROUND(Source!AF46*Source!I46, 2)+ROUND(Source!AE46*Source!I46, 2))), 2)</f>
        <v>3263.77</v>
      </c>
      <c r="T125">
        <f>Source!X46</f>
        <v>19969.18</v>
      </c>
      <c r="U125">
        <f>ROUND((Source!FY46/100)*((ROUND(Source!AF46*Source!I46, 2)+ROUND(Source!AE46*Source!I46, 2))), 2)</f>
        <v>1645.71</v>
      </c>
      <c r="V125">
        <f>Source!Y46</f>
        <v>10172.98</v>
      </c>
    </row>
    <row r="126" spans="1:26" x14ac:dyDescent="0.2">
      <c r="C126" s="22" t="str">
        <f>"Объем: "&amp;Source!I46&amp;"=76,6/"&amp;"100"</f>
        <v>Объем: 0,766=76,6/100</v>
      </c>
    </row>
    <row r="127" spans="1:26" ht="14.25" x14ac:dyDescent="0.2">
      <c r="A127" s="42"/>
      <c r="B127" s="43"/>
      <c r="C127" s="43" t="s">
        <v>1302</v>
      </c>
      <c r="D127" s="26"/>
      <c r="E127" s="10"/>
      <c r="F127" s="27">
        <f>Source!AO46</f>
        <v>2876.91</v>
      </c>
      <c r="G127" s="28" t="str">
        <f>Source!DG46</f>
        <v>)*1,15)*1,2</v>
      </c>
      <c r="H127" s="27">
        <f>ROUND(Source!AF46*Source!I46, 2)</f>
        <v>3041.13</v>
      </c>
      <c r="I127" s="28"/>
      <c r="J127" s="28">
        <f>IF(Source!BA46&lt;&gt; 0, Source!BA46, 1)</f>
        <v>6.13</v>
      </c>
      <c r="K127" s="27">
        <f>Source!S46</f>
        <v>18642.11</v>
      </c>
      <c r="L127" s="29"/>
      <c r="R127">
        <f>H127</f>
        <v>3041.13</v>
      </c>
    </row>
    <row r="128" spans="1:26" ht="14.25" x14ac:dyDescent="0.2">
      <c r="A128" s="42"/>
      <c r="B128" s="43"/>
      <c r="C128" s="43" t="s">
        <v>334</v>
      </c>
      <c r="D128" s="26"/>
      <c r="E128" s="10"/>
      <c r="F128" s="27">
        <f>Source!AM46</f>
        <v>190.16</v>
      </c>
      <c r="G128" s="28" t="str">
        <f>Source!DE46</f>
        <v>)*1,25)*1,2</v>
      </c>
      <c r="H128" s="27">
        <f>ROUND(Source!AD46*Source!I46, 2)</f>
        <v>218.5</v>
      </c>
      <c r="I128" s="28"/>
      <c r="J128" s="28">
        <f>IF(Source!BB46&lt;&gt; 0, Source!BB46, 1)</f>
        <v>6.13</v>
      </c>
      <c r="K128" s="27">
        <f>Source!Q46</f>
        <v>1339.41</v>
      </c>
      <c r="L128" s="29"/>
    </row>
    <row r="129" spans="1:26" ht="14.25" x14ac:dyDescent="0.2">
      <c r="A129" s="42"/>
      <c r="B129" s="43"/>
      <c r="C129" s="43" t="s">
        <v>1303</v>
      </c>
      <c r="D129" s="26"/>
      <c r="E129" s="10"/>
      <c r="F129" s="27">
        <f>Source!AN46</f>
        <v>27.93</v>
      </c>
      <c r="G129" s="28" t="str">
        <f>Source!DF46</f>
        <v>)*1,25)*1,2</v>
      </c>
      <c r="H129" s="30">
        <f>ROUND(Source!AE46*Source!I46, 2)</f>
        <v>32.1</v>
      </c>
      <c r="I129" s="28"/>
      <c r="J129" s="28">
        <f>IF(Source!BS46&lt;&gt; 0, Source!BS46, 1)</f>
        <v>6.13</v>
      </c>
      <c r="K129" s="30">
        <f>Source!R46</f>
        <v>196.74</v>
      </c>
      <c r="L129" s="29"/>
      <c r="R129">
        <f>H129</f>
        <v>32.1</v>
      </c>
    </row>
    <row r="130" spans="1:26" ht="14.25" x14ac:dyDescent="0.2">
      <c r="A130" s="42"/>
      <c r="B130" s="43"/>
      <c r="C130" s="43" t="s">
        <v>1309</v>
      </c>
      <c r="D130" s="26"/>
      <c r="E130" s="10"/>
      <c r="F130" s="27">
        <f>Source!AL46</f>
        <v>4100.43</v>
      </c>
      <c r="G130" s="28" t="str">
        <f>Source!DD46</f>
        <v/>
      </c>
      <c r="H130" s="27">
        <f>ROUND(Source!AC46*Source!I46, 2)</f>
        <v>3140.93</v>
      </c>
      <c r="I130" s="28"/>
      <c r="J130" s="28">
        <f>IF(Source!BC46&lt;&gt; 0, Source!BC46, 1)</f>
        <v>6.13</v>
      </c>
      <c r="K130" s="27">
        <f>Source!P46</f>
        <v>19253.900000000001</v>
      </c>
      <c r="L130" s="29"/>
    </row>
    <row r="131" spans="1:26" ht="14.25" x14ac:dyDescent="0.2">
      <c r="A131" s="42"/>
      <c r="B131" s="43"/>
      <c r="C131" s="43" t="s">
        <v>1304</v>
      </c>
      <c r="D131" s="26" t="s">
        <v>1305</v>
      </c>
      <c r="E131" s="10">
        <f>Source!BZ46</f>
        <v>118</v>
      </c>
      <c r="F131" s="50" t="str">
        <f>CONCATENATE(" )", Source!DL46, Source!FT46, "=", Source!FX46)</f>
        <v xml:space="preserve"> )*0,9=106,2</v>
      </c>
      <c r="G131" s="62"/>
      <c r="H131" s="27">
        <f>SUM(S125:S135)</f>
        <v>3263.77</v>
      </c>
      <c r="I131" s="31"/>
      <c r="J131" s="25">
        <f>Source!AT46</f>
        <v>106</v>
      </c>
      <c r="K131" s="27">
        <f>SUM(T125:T135)</f>
        <v>19969.18</v>
      </c>
      <c r="L131" s="29"/>
    </row>
    <row r="132" spans="1:26" ht="14.25" x14ac:dyDescent="0.2">
      <c r="A132" s="42"/>
      <c r="B132" s="43"/>
      <c r="C132" s="43" t="s">
        <v>1306</v>
      </c>
      <c r="D132" s="26" t="s">
        <v>1305</v>
      </c>
      <c r="E132" s="10">
        <f>Source!CA46</f>
        <v>63</v>
      </c>
      <c r="F132" s="50" t="str">
        <f>CONCATENATE(" )", Source!DM46, Source!FU46, "=", Source!FY46)</f>
        <v xml:space="preserve"> )*0,85=53,55</v>
      </c>
      <c r="G132" s="62"/>
      <c r="H132" s="27">
        <f>SUM(U125:U135)</f>
        <v>1645.71</v>
      </c>
      <c r="I132" s="31"/>
      <c r="J132" s="25">
        <f>Source!AU46</f>
        <v>54</v>
      </c>
      <c r="K132" s="27">
        <f>SUM(V125:V135)</f>
        <v>10172.98</v>
      </c>
      <c r="L132" s="29"/>
    </row>
    <row r="133" spans="1:26" ht="14.25" x14ac:dyDescent="0.2">
      <c r="A133" s="42"/>
      <c r="B133" s="43"/>
      <c r="C133" s="43" t="s">
        <v>1307</v>
      </c>
      <c r="D133" s="26" t="s">
        <v>1308</v>
      </c>
      <c r="E133" s="10">
        <f>Source!AQ46</f>
        <v>317.19</v>
      </c>
      <c r="F133" s="27"/>
      <c r="G133" s="28" t="str">
        <f>Source!DI46</f>
        <v>)*1,15)*1,2</v>
      </c>
      <c r="H133" s="27"/>
      <c r="I133" s="28"/>
      <c r="J133" s="28"/>
      <c r="K133" s="27"/>
      <c r="L133" s="38">
        <f>Source!U46</f>
        <v>335.29520519999994</v>
      </c>
    </row>
    <row r="134" spans="1:26" ht="28.5" x14ac:dyDescent="0.2">
      <c r="A134" s="42" t="str">
        <f>Source!E47</f>
        <v>11,1</v>
      </c>
      <c r="B134" s="43" t="str">
        <f>Source!F47</f>
        <v>01.6.01.02-0005</v>
      </c>
      <c r="C134" s="43" t="str">
        <f>Source!G47</f>
        <v>Листы гипсокартонные ГКЛ 9,5 мм прим.</v>
      </c>
      <c r="D134" s="26" t="str">
        <f>Source!H47</f>
        <v>м2</v>
      </c>
      <c r="E134" s="10">
        <f>Source!I47</f>
        <v>321.72000000000003</v>
      </c>
      <c r="F134" s="27">
        <f>Source!AL47+Source!AM47+Source!AO47</f>
        <v>14.8</v>
      </c>
      <c r="G134" s="39" t="s">
        <v>3</v>
      </c>
      <c r="H134" s="27">
        <f>ROUND(Source!AC47*Source!I47, 2)+ROUND(Source!AD47*Source!I47, 2)+ROUND(Source!AF47*Source!I47, 2)</f>
        <v>4761.46</v>
      </c>
      <c r="I134" s="28"/>
      <c r="J134" s="28">
        <f>IF(Source!BC47&lt;&gt; 0, Source!BC47, 1)</f>
        <v>6.13</v>
      </c>
      <c r="K134" s="27">
        <f>Source!O47</f>
        <v>29187.73</v>
      </c>
      <c r="L134" s="29"/>
      <c r="S134">
        <f>ROUND((Source!FX47/100)*((ROUND(Source!AF47*Source!I47, 2)+ROUND(Source!AE47*Source!I47, 2))), 2)</f>
        <v>0</v>
      </c>
      <c r="T134">
        <f>Source!X47</f>
        <v>0</v>
      </c>
      <c r="U134">
        <f>ROUND((Source!FY47/100)*((ROUND(Source!AF47*Source!I47, 2)+ROUND(Source!AE47*Source!I47, 2))), 2)</f>
        <v>0</v>
      </c>
      <c r="V134">
        <f>Source!Y47</f>
        <v>0</v>
      </c>
      <c r="W134">
        <f>IF(Source!BI47&lt;=1,H134, 0)</f>
        <v>4761.46</v>
      </c>
      <c r="X134">
        <f>IF(Source!BI47=2,H134, 0)</f>
        <v>0</v>
      </c>
      <c r="Y134">
        <f>IF(Source!BI47=3,H134, 0)</f>
        <v>0</v>
      </c>
      <c r="Z134">
        <f>IF(Source!BI47=4,H134, 0)</f>
        <v>0</v>
      </c>
    </row>
    <row r="135" spans="1:26" ht="14.25" x14ac:dyDescent="0.2">
      <c r="A135" s="44" t="str">
        <f>Source!E48</f>
        <v>11,2</v>
      </c>
      <c r="B135" s="45" t="str">
        <f>Source!F48</f>
        <v>01.6.01.02</v>
      </c>
      <c r="C135" s="45" t="str">
        <f>Source!G48</f>
        <v>Листы гипсокартонные</v>
      </c>
      <c r="D135" s="32" t="str">
        <f>Source!H48</f>
        <v>м2</v>
      </c>
      <c r="E135" s="33">
        <f>Source!I48</f>
        <v>321.72000000000003</v>
      </c>
      <c r="F135" s="34">
        <f>Source!AL48+Source!AM48+Source!AO48</f>
        <v>0</v>
      </c>
      <c r="G135" s="40" t="s">
        <v>3</v>
      </c>
      <c r="H135" s="34">
        <f>ROUND(Source!AC48*Source!I48, 2)+ROUND(Source!AD48*Source!I48, 2)+ROUND(Source!AF48*Source!I48, 2)</f>
        <v>0</v>
      </c>
      <c r="I135" s="35"/>
      <c r="J135" s="35">
        <f>IF(Source!BC48&lt;&gt; 0, Source!BC48, 1)</f>
        <v>6.13</v>
      </c>
      <c r="K135" s="34">
        <f>Source!O48</f>
        <v>0</v>
      </c>
      <c r="L135" s="41"/>
      <c r="S135">
        <f>ROUND((Source!FX48/100)*((ROUND(Source!AF48*Source!I48, 2)+ROUND(Source!AE48*Source!I48, 2))), 2)</f>
        <v>0</v>
      </c>
      <c r="T135">
        <f>Source!X48</f>
        <v>0</v>
      </c>
      <c r="U135">
        <f>ROUND((Source!FY48/100)*((ROUND(Source!AF48*Source!I48, 2)+ROUND(Source!AE48*Source!I48, 2))), 2)</f>
        <v>0</v>
      </c>
      <c r="V135">
        <f>Source!Y48</f>
        <v>0</v>
      </c>
      <c r="W135">
        <f>IF(Source!BI48&lt;=1,H135, 0)</f>
        <v>0</v>
      </c>
      <c r="X135">
        <f>IF(Source!BI48=2,H135, 0)</f>
        <v>0</v>
      </c>
      <c r="Y135">
        <f>IF(Source!BI48=3,H135, 0)</f>
        <v>0</v>
      </c>
      <c r="Z135">
        <f>IF(Source!BI48=4,H135, 0)</f>
        <v>0</v>
      </c>
    </row>
    <row r="136" spans="1:26" ht="15" x14ac:dyDescent="0.25">
      <c r="G136" s="61">
        <f>H127+H128+H130+H131+H132+SUM(H134:H135)</f>
        <v>16071.5</v>
      </c>
      <c r="H136" s="61"/>
      <c r="J136" s="61">
        <f>K127+K128+K130+K131+K132+SUM(K134:K135)</f>
        <v>98565.31</v>
      </c>
      <c r="K136" s="61"/>
      <c r="L136" s="37">
        <f>Source!U46</f>
        <v>335.29520519999994</v>
      </c>
      <c r="O136" s="23">
        <f>G136</f>
        <v>16071.5</v>
      </c>
      <c r="P136" s="23">
        <f>J136</f>
        <v>98565.31</v>
      </c>
      <c r="Q136" s="23">
        <f>L136</f>
        <v>335.29520519999994</v>
      </c>
      <c r="W136">
        <f>IF(Source!BI46&lt;=1,H127+H128+H130+H131+H132, 0)</f>
        <v>11310.04</v>
      </c>
      <c r="X136">
        <f>IF(Source!BI46=2,H127+H128+H130+H131+H132, 0)</f>
        <v>0</v>
      </c>
      <c r="Y136">
        <f>IF(Source!BI46=3,H127+H128+H130+H131+H132, 0)</f>
        <v>0</v>
      </c>
      <c r="Z136">
        <f>IF(Source!BI46=4,H127+H128+H130+H131+H132, 0)</f>
        <v>0</v>
      </c>
    </row>
    <row r="137" spans="1:26" ht="85.5" x14ac:dyDescent="0.2">
      <c r="A137" s="42" t="str">
        <f>Source!E49</f>
        <v>12</v>
      </c>
      <c r="B137" s="43" t="str">
        <f>Source!F49</f>
        <v>15-01-019-01</v>
      </c>
      <c r="C137" s="43" t="str">
        <f>Source!G49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137" s="26" t="str">
        <f>Source!H49</f>
        <v>100 м2</v>
      </c>
      <c r="E137" s="10">
        <f>Source!I49</f>
        <v>0.7</v>
      </c>
      <c r="F137" s="27">
        <f>Source!AL49+Source!AM49+Source!AO49</f>
        <v>2890.37</v>
      </c>
      <c r="G137" s="28"/>
      <c r="H137" s="27"/>
      <c r="I137" s="28" t="str">
        <f>Source!BO49</f>
        <v/>
      </c>
      <c r="J137" s="28"/>
      <c r="K137" s="27"/>
      <c r="L137" s="29"/>
      <c r="S137">
        <f>ROUND((Source!FX49/100)*((ROUND(Source!AF49*Source!I49, 2)+ROUND(Source!AE49*Source!I49, 2))), 2)</f>
        <v>1922.03</v>
      </c>
      <c r="T137">
        <f>Source!X49</f>
        <v>11844.36</v>
      </c>
      <c r="U137">
        <f>ROUND((Source!FY49/100)*((ROUND(Source!AF49*Source!I49, 2)+ROUND(Source!AE49*Source!I49, 2))), 2)</f>
        <v>950.84</v>
      </c>
      <c r="V137">
        <f>Source!Y49</f>
        <v>5859.84</v>
      </c>
    </row>
    <row r="138" spans="1:26" x14ac:dyDescent="0.2">
      <c r="C138" s="22" t="str">
        <f>"Объем: "&amp;Source!I49&amp;"=70/"&amp;"100"</f>
        <v>Объем: 0,7=70/100</v>
      </c>
    </row>
    <row r="139" spans="1:26" ht="14.25" x14ac:dyDescent="0.2">
      <c r="A139" s="42"/>
      <c r="B139" s="43"/>
      <c r="C139" s="43" t="s">
        <v>1302</v>
      </c>
      <c r="D139" s="26"/>
      <c r="E139" s="10"/>
      <c r="F139" s="27">
        <f>Source!AO49</f>
        <v>2093.04</v>
      </c>
      <c r="G139" s="28" t="str">
        <f>Source!DG49</f>
        <v>)*1,15)*1,2</v>
      </c>
      <c r="H139" s="27">
        <f>ROUND(Source!AF49*Source!I49, 2)</f>
        <v>2021.88</v>
      </c>
      <c r="I139" s="28"/>
      <c r="J139" s="28">
        <f>IF(Source!BA49&lt;&gt; 0, Source!BA49, 1)</f>
        <v>6.13</v>
      </c>
      <c r="K139" s="27">
        <f>Source!S49</f>
        <v>12394.12</v>
      </c>
      <c r="L139" s="29"/>
      <c r="R139">
        <f>H139</f>
        <v>2021.88</v>
      </c>
    </row>
    <row r="140" spans="1:26" ht="14.25" x14ac:dyDescent="0.2">
      <c r="A140" s="42"/>
      <c r="B140" s="43"/>
      <c r="C140" s="43" t="s">
        <v>334</v>
      </c>
      <c r="D140" s="26"/>
      <c r="E140" s="10"/>
      <c r="F140" s="27">
        <f>Source!AM49</f>
        <v>29.82</v>
      </c>
      <c r="G140" s="28" t="str">
        <f>Source!DE49</f>
        <v>)*1,25)*1,2</v>
      </c>
      <c r="H140" s="27">
        <f>ROUND(Source!AD49*Source!I49, 2)</f>
        <v>31.31</v>
      </c>
      <c r="I140" s="28"/>
      <c r="J140" s="28">
        <f>IF(Source!BB49&lt;&gt; 0, Source!BB49, 1)</f>
        <v>6.13</v>
      </c>
      <c r="K140" s="27">
        <f>Source!Q49</f>
        <v>191.94</v>
      </c>
      <c r="L140" s="29"/>
    </row>
    <row r="141" spans="1:26" ht="14.25" x14ac:dyDescent="0.2">
      <c r="A141" s="42"/>
      <c r="B141" s="43"/>
      <c r="C141" s="43" t="s">
        <v>1303</v>
      </c>
      <c r="D141" s="26"/>
      <c r="E141" s="10"/>
      <c r="F141" s="27">
        <f>Source!AN49</f>
        <v>11.44</v>
      </c>
      <c r="G141" s="28" t="str">
        <f>Source!DF49</f>
        <v>)*1,25)*1,2</v>
      </c>
      <c r="H141" s="30">
        <f>ROUND(Source!AE49*Source!I49, 2)</f>
        <v>12.01</v>
      </c>
      <c r="I141" s="28"/>
      <c r="J141" s="28">
        <f>IF(Source!BS49&lt;&gt; 0, Source!BS49, 1)</f>
        <v>6.13</v>
      </c>
      <c r="K141" s="30">
        <f>Source!R49</f>
        <v>73.63</v>
      </c>
      <c r="L141" s="29"/>
      <c r="R141">
        <f>H141</f>
        <v>12.01</v>
      </c>
    </row>
    <row r="142" spans="1:26" ht="14.25" x14ac:dyDescent="0.2">
      <c r="A142" s="42"/>
      <c r="B142" s="43"/>
      <c r="C142" s="43" t="s">
        <v>1309</v>
      </c>
      <c r="D142" s="26"/>
      <c r="E142" s="10"/>
      <c r="F142" s="27">
        <f>Source!AL49</f>
        <v>767.51</v>
      </c>
      <c r="G142" s="28" t="str">
        <f>Source!DD49</f>
        <v/>
      </c>
      <c r="H142" s="27">
        <f>ROUND(Source!AC49*Source!I49, 2)</f>
        <v>537.26</v>
      </c>
      <c r="I142" s="28"/>
      <c r="J142" s="28">
        <f>IF(Source!BC49&lt;&gt; 0, Source!BC49, 1)</f>
        <v>6.13</v>
      </c>
      <c r="K142" s="27">
        <f>Source!P49</f>
        <v>3293.39</v>
      </c>
      <c r="L142" s="29"/>
    </row>
    <row r="143" spans="1:26" ht="14.25" x14ac:dyDescent="0.2">
      <c r="A143" s="42"/>
      <c r="B143" s="43"/>
      <c r="C143" s="43" t="s">
        <v>1304</v>
      </c>
      <c r="D143" s="26" t="s">
        <v>1305</v>
      </c>
      <c r="E143" s="10">
        <f>Source!BZ49</f>
        <v>105</v>
      </c>
      <c r="F143" s="50" t="str">
        <f>CONCATENATE(" )", Source!DL49, Source!FT49, "=", Source!FX49)</f>
        <v xml:space="preserve"> )*0,9=94,5</v>
      </c>
      <c r="G143" s="62"/>
      <c r="H143" s="27">
        <f>SUM(S137:S147)</f>
        <v>1922.03</v>
      </c>
      <c r="I143" s="31"/>
      <c r="J143" s="25">
        <f>Source!AT49</f>
        <v>95</v>
      </c>
      <c r="K143" s="27">
        <f>SUM(T137:T147)</f>
        <v>11844.36</v>
      </c>
      <c r="L143" s="29"/>
    </row>
    <row r="144" spans="1:26" ht="14.25" x14ac:dyDescent="0.2">
      <c r="A144" s="42"/>
      <c r="B144" s="43"/>
      <c r="C144" s="43" t="s">
        <v>1306</v>
      </c>
      <c r="D144" s="26" t="s">
        <v>1305</v>
      </c>
      <c r="E144" s="10">
        <f>Source!CA49</f>
        <v>55</v>
      </c>
      <c r="F144" s="50" t="str">
        <f>CONCATENATE(" )", Source!DM49, Source!FU49, "=", Source!FY49)</f>
        <v xml:space="preserve"> )*0,85=46,75</v>
      </c>
      <c r="G144" s="62"/>
      <c r="H144" s="27">
        <f>SUM(U137:U147)</f>
        <v>950.84</v>
      </c>
      <c r="I144" s="31"/>
      <c r="J144" s="25">
        <f>Source!AU49</f>
        <v>47</v>
      </c>
      <c r="K144" s="27">
        <f>SUM(V137:V147)</f>
        <v>5859.84</v>
      </c>
      <c r="L144" s="29"/>
    </row>
    <row r="145" spans="1:26" ht="14.25" x14ac:dyDescent="0.2">
      <c r="A145" s="42"/>
      <c r="B145" s="43"/>
      <c r="C145" s="43" t="s">
        <v>1307</v>
      </c>
      <c r="D145" s="26" t="s">
        <v>1308</v>
      </c>
      <c r="E145" s="10">
        <f>Source!AQ49</f>
        <v>228</v>
      </c>
      <c r="F145" s="27"/>
      <c r="G145" s="28" t="str">
        <f>Source!DI49</f>
        <v>)*1,15)*1,2</v>
      </c>
      <c r="H145" s="27"/>
      <c r="I145" s="28"/>
      <c r="J145" s="28"/>
      <c r="K145" s="27"/>
      <c r="L145" s="38">
        <f>Source!U49</f>
        <v>220.24799999999999</v>
      </c>
    </row>
    <row r="146" spans="1:26" ht="71.25" x14ac:dyDescent="0.2">
      <c r="A146" s="42" t="str">
        <f>Source!E50</f>
        <v>12,1</v>
      </c>
      <c r="B146" s="43" t="str">
        <f>Source!F50</f>
        <v>06.2.01.02-0024</v>
      </c>
      <c r="C146" s="43" t="str">
        <f>Source!G50</f>
        <v>Плитки керамические глазурованные для внутренней облицовки стен многоцветные, "Итало-дизайн" (коллекция "Белая", эконом- класс), размер 300х200х7 мм</v>
      </c>
      <c r="D146" s="26" t="str">
        <f>Source!H50</f>
        <v>м2</v>
      </c>
      <c r="E146" s="10">
        <f>Source!I50</f>
        <v>70</v>
      </c>
      <c r="F146" s="27">
        <f>Source!AL50+Source!AM50+Source!AO50</f>
        <v>73.03</v>
      </c>
      <c r="G146" s="39" t="s">
        <v>3</v>
      </c>
      <c r="H146" s="27">
        <f>ROUND(Source!AC50*Source!I50, 2)+ROUND(Source!AD50*Source!I50, 2)+ROUND(Source!AF50*Source!I50, 2)</f>
        <v>5112.1000000000004</v>
      </c>
      <c r="I146" s="28"/>
      <c r="J146" s="28">
        <f>IF(Source!BC50&lt;&gt; 0, Source!BC50, 1)</f>
        <v>6.13</v>
      </c>
      <c r="K146" s="27">
        <f>Source!O50</f>
        <v>31337.17</v>
      </c>
      <c r="L146" s="29"/>
      <c r="S146">
        <f>ROUND((Source!FX50/100)*((ROUND(Source!AF50*Source!I50, 2)+ROUND(Source!AE50*Source!I50, 2))), 2)</f>
        <v>0</v>
      </c>
      <c r="T146">
        <f>Source!X50</f>
        <v>0</v>
      </c>
      <c r="U146">
        <f>ROUND((Source!FY50/100)*((ROUND(Source!AF50*Source!I50, 2)+ROUND(Source!AE50*Source!I50, 2))), 2)</f>
        <v>0</v>
      </c>
      <c r="V146">
        <f>Source!Y50</f>
        <v>0</v>
      </c>
      <c r="W146">
        <f>IF(Source!BI50&lt;=1,H146, 0)</f>
        <v>5112.1000000000004</v>
      </c>
      <c r="X146">
        <f>IF(Source!BI50=2,H146, 0)</f>
        <v>0</v>
      </c>
      <c r="Y146">
        <f>IF(Source!BI50=3,H146, 0)</f>
        <v>0</v>
      </c>
      <c r="Z146">
        <f>IF(Source!BI50=4,H146, 0)</f>
        <v>0</v>
      </c>
    </row>
    <row r="147" spans="1:26" ht="14.25" x14ac:dyDescent="0.2">
      <c r="A147" s="44" t="str">
        <f>Source!E51</f>
        <v>12,2</v>
      </c>
      <c r="B147" s="45" t="str">
        <f>Source!F51</f>
        <v>06.2.05.04</v>
      </c>
      <c r="C147" s="45" t="str">
        <f>Source!G51</f>
        <v>Плитки рядовые</v>
      </c>
      <c r="D147" s="32" t="str">
        <f>Source!H51</f>
        <v>м2</v>
      </c>
      <c r="E147" s="33">
        <f>Source!I51</f>
        <v>70</v>
      </c>
      <c r="F147" s="34">
        <f>Source!AL51+Source!AM51+Source!AO51</f>
        <v>0</v>
      </c>
      <c r="G147" s="40" t="s">
        <v>3</v>
      </c>
      <c r="H147" s="34">
        <f>ROUND(Source!AC51*Source!I51, 2)+ROUND(Source!AD51*Source!I51, 2)+ROUND(Source!AF51*Source!I51, 2)</f>
        <v>0</v>
      </c>
      <c r="I147" s="35"/>
      <c r="J147" s="35">
        <f>IF(Source!BC51&lt;&gt; 0, Source!BC51, 1)</f>
        <v>6.13</v>
      </c>
      <c r="K147" s="34">
        <f>Source!O51</f>
        <v>0</v>
      </c>
      <c r="L147" s="41"/>
      <c r="S147">
        <f>ROUND((Source!FX51/100)*((ROUND(Source!AF51*Source!I51, 2)+ROUND(Source!AE51*Source!I51, 2))), 2)</f>
        <v>0</v>
      </c>
      <c r="T147">
        <f>Source!X51</f>
        <v>0</v>
      </c>
      <c r="U147">
        <f>ROUND((Source!FY51/100)*((ROUND(Source!AF51*Source!I51, 2)+ROUND(Source!AE51*Source!I51, 2))), 2)</f>
        <v>0</v>
      </c>
      <c r="V147">
        <f>Source!Y51</f>
        <v>0</v>
      </c>
      <c r="W147">
        <f>IF(Source!BI51&lt;=1,H147, 0)</f>
        <v>0</v>
      </c>
      <c r="X147">
        <f>IF(Source!BI51=2,H147, 0)</f>
        <v>0</v>
      </c>
      <c r="Y147">
        <f>IF(Source!BI51=3,H147, 0)</f>
        <v>0</v>
      </c>
      <c r="Z147">
        <f>IF(Source!BI51=4,H147, 0)</f>
        <v>0</v>
      </c>
    </row>
    <row r="148" spans="1:26" ht="15" x14ac:dyDescent="0.25">
      <c r="G148" s="61">
        <f>H139+H140+H142+H143+H144+SUM(H146:H147)</f>
        <v>10575.42</v>
      </c>
      <c r="H148" s="61"/>
      <c r="J148" s="61">
        <f>K139+K140+K142+K143+K144+SUM(K146:K147)</f>
        <v>64920.82</v>
      </c>
      <c r="K148" s="61"/>
      <c r="L148" s="37">
        <f>Source!U49</f>
        <v>220.24799999999999</v>
      </c>
      <c r="O148" s="23">
        <f>G148</f>
        <v>10575.42</v>
      </c>
      <c r="P148" s="23">
        <f>J148</f>
        <v>64920.82</v>
      </c>
      <c r="Q148" s="23">
        <f>L148</f>
        <v>220.24799999999999</v>
      </c>
      <c r="W148">
        <f>IF(Source!BI49&lt;=1,H139+H140+H142+H143+H144, 0)</f>
        <v>5463.32</v>
      </c>
      <c r="X148">
        <f>IF(Source!BI49=2,H139+H140+H142+H143+H144, 0)</f>
        <v>0</v>
      </c>
      <c r="Y148">
        <f>IF(Source!BI49=3,H139+H140+H142+H143+H144, 0)</f>
        <v>0</v>
      </c>
      <c r="Z148">
        <f>IF(Source!BI49=4,H139+H140+H142+H143+H144, 0)</f>
        <v>0</v>
      </c>
    </row>
    <row r="149" spans="1:26" ht="42.75" x14ac:dyDescent="0.2">
      <c r="A149" s="42" t="str">
        <f>Source!E52</f>
        <v>13</v>
      </c>
      <c r="B149" s="43" t="str">
        <f>Source!F52</f>
        <v>11-01-004-01</v>
      </c>
      <c r="C149" s="43" t="str">
        <f>Source!G52</f>
        <v>Устройство теплоизоляции оклеечной рулонными материалами на мастике Битуминоль, первый слой</v>
      </c>
      <c r="D149" s="26" t="str">
        <f>Source!H52</f>
        <v>100 м2</v>
      </c>
      <c r="E149" s="10">
        <f>Source!I52</f>
        <v>0.125</v>
      </c>
      <c r="F149" s="27">
        <f>Source!AL52+Source!AM52+Source!AO52</f>
        <v>2075.6999999999998</v>
      </c>
      <c r="G149" s="28"/>
      <c r="H149" s="27"/>
      <c r="I149" s="28" t="str">
        <f>Source!BO52</f>
        <v/>
      </c>
      <c r="J149" s="28"/>
      <c r="K149" s="27"/>
      <c r="L149" s="29"/>
      <c r="S149">
        <f>ROUND((Source!FX52/100)*((ROUND(Source!AF52*Source!I52, 2)+ROUND(Source!AE52*Source!I52, 2))), 2)</f>
        <v>101.9</v>
      </c>
      <c r="T149">
        <f>Source!X52</f>
        <v>626.33000000000004</v>
      </c>
      <c r="U149">
        <f>ROUND((Source!FY52/100)*((ROUND(Source!AF52*Source!I52, 2)+ROUND(Source!AE52*Source!I52, 2))), 2)</f>
        <v>58.68</v>
      </c>
      <c r="V149">
        <f>Source!Y52</f>
        <v>361.13</v>
      </c>
    </row>
    <row r="150" spans="1:26" x14ac:dyDescent="0.2">
      <c r="C150" s="22" t="str">
        <f>"Объем: "&amp;Source!I52&amp;"=12,5/"&amp;"100"</f>
        <v>Объем: 0,125=12,5/100</v>
      </c>
    </row>
    <row r="151" spans="1:26" ht="14.25" x14ac:dyDescent="0.2">
      <c r="A151" s="42"/>
      <c r="B151" s="43"/>
      <c r="C151" s="43" t="s">
        <v>1302</v>
      </c>
      <c r="D151" s="26"/>
      <c r="E151" s="10"/>
      <c r="F151" s="27">
        <f>Source!AO52</f>
        <v>520.45000000000005</v>
      </c>
      <c r="G151" s="28" t="str">
        <f>Source!DG52</f>
        <v>)*1,15)*1,2</v>
      </c>
      <c r="H151" s="27">
        <f>ROUND(Source!AF52*Source!I52, 2)</f>
        <v>89.78</v>
      </c>
      <c r="I151" s="28"/>
      <c r="J151" s="28">
        <f>IF(Source!BA52&lt;&gt; 0, Source!BA52, 1)</f>
        <v>6.13</v>
      </c>
      <c r="K151" s="27">
        <f>Source!S52</f>
        <v>550.34</v>
      </c>
      <c r="L151" s="29"/>
      <c r="R151">
        <f>H151</f>
        <v>89.78</v>
      </c>
    </row>
    <row r="152" spans="1:26" ht="14.25" x14ac:dyDescent="0.2">
      <c r="A152" s="42"/>
      <c r="B152" s="43"/>
      <c r="C152" s="43" t="s">
        <v>334</v>
      </c>
      <c r="D152" s="26"/>
      <c r="E152" s="10"/>
      <c r="F152" s="27">
        <f>Source!AM52</f>
        <v>308.66000000000003</v>
      </c>
      <c r="G152" s="28" t="str">
        <f>Source!DE52</f>
        <v>)*1,25)*1,2</v>
      </c>
      <c r="H152" s="27">
        <f>ROUND(Source!AD52*Source!I52, 2)</f>
        <v>57.88</v>
      </c>
      <c r="I152" s="28"/>
      <c r="J152" s="28">
        <f>IF(Source!BB52&lt;&gt; 0, Source!BB52, 1)</f>
        <v>6.13</v>
      </c>
      <c r="K152" s="27">
        <f>Source!Q52</f>
        <v>354.77</v>
      </c>
      <c r="L152" s="29"/>
    </row>
    <row r="153" spans="1:26" ht="14.25" x14ac:dyDescent="0.2">
      <c r="A153" s="42"/>
      <c r="B153" s="43"/>
      <c r="C153" s="43" t="s">
        <v>1303</v>
      </c>
      <c r="D153" s="26"/>
      <c r="E153" s="10"/>
      <c r="F153" s="27">
        <f>Source!AN52</f>
        <v>12.11</v>
      </c>
      <c r="G153" s="28" t="str">
        <f>Source!DF52</f>
        <v>)*1,25)*1,2</v>
      </c>
      <c r="H153" s="30">
        <f>ROUND(Source!AE52*Source!I52, 2)</f>
        <v>2.27</v>
      </c>
      <c r="I153" s="28"/>
      <c r="J153" s="28">
        <f>IF(Source!BS52&lt;&gt; 0, Source!BS52, 1)</f>
        <v>6.13</v>
      </c>
      <c r="K153" s="30">
        <f>Source!R52</f>
        <v>13.92</v>
      </c>
      <c r="L153" s="29"/>
      <c r="R153">
        <f>H153</f>
        <v>2.27</v>
      </c>
    </row>
    <row r="154" spans="1:26" ht="14.25" x14ac:dyDescent="0.2">
      <c r="A154" s="42"/>
      <c r="B154" s="43"/>
      <c r="C154" s="43" t="s">
        <v>1309</v>
      </c>
      <c r="D154" s="26"/>
      <c r="E154" s="10"/>
      <c r="F154" s="27">
        <f>Source!AL52</f>
        <v>1246.5899999999999</v>
      </c>
      <c r="G154" s="28" t="str">
        <f>Source!DD52</f>
        <v/>
      </c>
      <c r="H154" s="27">
        <f>ROUND(Source!AC52*Source!I52, 2)</f>
        <v>155.82</v>
      </c>
      <c r="I154" s="28"/>
      <c r="J154" s="28">
        <f>IF(Source!BC52&lt;&gt; 0, Source!BC52, 1)</f>
        <v>6.13</v>
      </c>
      <c r="K154" s="27">
        <f>Source!P52</f>
        <v>955.2</v>
      </c>
      <c r="L154" s="29"/>
    </row>
    <row r="155" spans="1:26" ht="14.25" x14ac:dyDescent="0.2">
      <c r="A155" s="42"/>
      <c r="B155" s="43"/>
      <c r="C155" s="43" t="s">
        <v>1304</v>
      </c>
      <c r="D155" s="26" t="s">
        <v>1305</v>
      </c>
      <c r="E155" s="10">
        <f>Source!BZ52</f>
        <v>123</v>
      </c>
      <c r="F155" s="50" t="str">
        <f>CONCATENATE(" )", Source!DL52, Source!FT52, "=", Source!FX52)</f>
        <v xml:space="preserve"> )*0,9=110,7</v>
      </c>
      <c r="G155" s="62"/>
      <c r="H155" s="27">
        <f>SUM(S149:S159)</f>
        <v>101.9</v>
      </c>
      <c r="I155" s="31"/>
      <c r="J155" s="25">
        <f>Source!AT52</f>
        <v>111</v>
      </c>
      <c r="K155" s="27">
        <f>SUM(T149:T159)</f>
        <v>626.33000000000004</v>
      </c>
      <c r="L155" s="29"/>
    </row>
    <row r="156" spans="1:26" ht="14.25" x14ac:dyDescent="0.2">
      <c r="A156" s="42"/>
      <c r="B156" s="43"/>
      <c r="C156" s="43" t="s">
        <v>1306</v>
      </c>
      <c r="D156" s="26" t="s">
        <v>1305</v>
      </c>
      <c r="E156" s="10">
        <f>Source!CA52</f>
        <v>75</v>
      </c>
      <c r="F156" s="50" t="str">
        <f>CONCATENATE(" )", Source!DM52, Source!FU52, "=", Source!FY52)</f>
        <v xml:space="preserve"> )*0,85=63,75</v>
      </c>
      <c r="G156" s="62"/>
      <c r="H156" s="27">
        <f>SUM(U149:U159)</f>
        <v>58.68</v>
      </c>
      <c r="I156" s="31"/>
      <c r="J156" s="25">
        <f>Source!AU52</f>
        <v>64</v>
      </c>
      <c r="K156" s="27">
        <f>SUM(V149:V159)</f>
        <v>361.13</v>
      </c>
      <c r="L156" s="29"/>
    </row>
    <row r="157" spans="1:26" ht="14.25" x14ac:dyDescent="0.2">
      <c r="A157" s="42"/>
      <c r="B157" s="43"/>
      <c r="C157" s="43" t="s">
        <v>1307</v>
      </c>
      <c r="D157" s="26" t="s">
        <v>1308</v>
      </c>
      <c r="E157" s="10">
        <f>Source!AQ52</f>
        <v>46.18</v>
      </c>
      <c r="F157" s="27"/>
      <c r="G157" s="28" t="str">
        <f>Source!DI52</f>
        <v>)*1,15)*1,2</v>
      </c>
      <c r="H157" s="27"/>
      <c r="I157" s="28"/>
      <c r="J157" s="28"/>
      <c r="K157" s="27"/>
      <c r="L157" s="38">
        <f>Source!U52</f>
        <v>7.9660499999999983</v>
      </c>
    </row>
    <row r="158" spans="1:26" ht="14.25" x14ac:dyDescent="0.2">
      <c r="A158" s="42" t="str">
        <f>Source!E53</f>
        <v>13,1</v>
      </c>
      <c r="B158" s="43" t="str">
        <f>Source!F53</f>
        <v>12.2.03.13-0005</v>
      </c>
      <c r="C158" s="43" t="str">
        <f>Source!G53</f>
        <v>Фольгоизол ФК, ФГ</v>
      </c>
      <c r="D158" s="26" t="str">
        <f>Source!H53</f>
        <v>м2</v>
      </c>
      <c r="E158" s="10">
        <f>Source!I53</f>
        <v>14.5</v>
      </c>
      <c r="F158" s="27">
        <f>Source!AL53+Source!AM53+Source!AO53</f>
        <v>55.59</v>
      </c>
      <c r="G158" s="39" t="s">
        <v>3</v>
      </c>
      <c r="H158" s="27">
        <f>ROUND(Source!AC53*Source!I53, 2)+ROUND(Source!AD53*Source!I53, 2)+ROUND(Source!AF53*Source!I53, 2)</f>
        <v>806.06</v>
      </c>
      <c r="I158" s="28"/>
      <c r="J158" s="28">
        <f>IF(Source!BC53&lt;&gt; 0, Source!BC53, 1)</f>
        <v>6.13</v>
      </c>
      <c r="K158" s="27">
        <f>Source!O53</f>
        <v>4941.12</v>
      </c>
      <c r="L158" s="29"/>
      <c r="S158">
        <f>ROUND((Source!FX53/100)*((ROUND(Source!AF53*Source!I53, 2)+ROUND(Source!AE53*Source!I53, 2))), 2)</f>
        <v>0</v>
      </c>
      <c r="T158">
        <f>Source!X53</f>
        <v>0</v>
      </c>
      <c r="U158">
        <f>ROUND((Source!FY53/100)*((ROUND(Source!AF53*Source!I53, 2)+ROUND(Source!AE53*Source!I53, 2))), 2)</f>
        <v>0</v>
      </c>
      <c r="V158">
        <f>Source!Y53</f>
        <v>0</v>
      </c>
      <c r="W158">
        <f>IF(Source!BI53&lt;=1,H158, 0)</f>
        <v>806.06</v>
      </c>
      <c r="X158">
        <f>IF(Source!BI53=2,H158, 0)</f>
        <v>0</v>
      </c>
      <c r="Y158">
        <f>IF(Source!BI53=3,H158, 0)</f>
        <v>0</v>
      </c>
      <c r="Z158">
        <f>IF(Source!BI53=4,H158, 0)</f>
        <v>0</v>
      </c>
    </row>
    <row r="159" spans="1:26" ht="14.25" x14ac:dyDescent="0.2">
      <c r="A159" s="44" t="str">
        <f>Source!E54</f>
        <v>13,2</v>
      </c>
      <c r="B159" s="45" t="str">
        <f>Source!F54</f>
        <v>12.1.02.15</v>
      </c>
      <c r="C159" s="45" t="str">
        <f>Source!G54</f>
        <v>Материал рулонный</v>
      </c>
      <c r="D159" s="32" t="str">
        <f>Source!H54</f>
        <v>м2</v>
      </c>
      <c r="E159" s="33">
        <f>Source!I54</f>
        <v>14.5</v>
      </c>
      <c r="F159" s="34">
        <f>Source!AL54+Source!AM54+Source!AO54</f>
        <v>0</v>
      </c>
      <c r="G159" s="40" t="s">
        <v>3</v>
      </c>
      <c r="H159" s="34">
        <f>ROUND(Source!AC54*Source!I54, 2)+ROUND(Source!AD54*Source!I54, 2)+ROUND(Source!AF54*Source!I54, 2)</f>
        <v>0</v>
      </c>
      <c r="I159" s="35"/>
      <c r="J159" s="35">
        <f>IF(Source!BC54&lt;&gt; 0, Source!BC54, 1)</f>
        <v>6.13</v>
      </c>
      <c r="K159" s="34">
        <f>Source!O54</f>
        <v>0</v>
      </c>
      <c r="L159" s="41"/>
      <c r="S159">
        <f>ROUND((Source!FX54/100)*((ROUND(Source!AF54*Source!I54, 2)+ROUND(Source!AE54*Source!I54, 2))), 2)</f>
        <v>0</v>
      </c>
      <c r="T159">
        <f>Source!X54</f>
        <v>0</v>
      </c>
      <c r="U159">
        <f>ROUND((Source!FY54/100)*((ROUND(Source!AF54*Source!I54, 2)+ROUND(Source!AE54*Source!I54, 2))), 2)</f>
        <v>0</v>
      </c>
      <c r="V159">
        <f>Source!Y54</f>
        <v>0</v>
      </c>
      <c r="W159">
        <f>IF(Source!BI54&lt;=1,H159, 0)</f>
        <v>0</v>
      </c>
      <c r="X159">
        <f>IF(Source!BI54=2,H159, 0)</f>
        <v>0</v>
      </c>
      <c r="Y159">
        <f>IF(Source!BI54=3,H159, 0)</f>
        <v>0</v>
      </c>
      <c r="Z159">
        <f>IF(Source!BI54=4,H159, 0)</f>
        <v>0</v>
      </c>
    </row>
    <row r="160" spans="1:26" ht="15" x14ac:dyDescent="0.25">
      <c r="G160" s="61">
        <f>H151+H152+H154+H155+H156+SUM(H158:H159)</f>
        <v>1270.1199999999999</v>
      </c>
      <c r="H160" s="61"/>
      <c r="J160" s="61">
        <f>K151+K152+K154+K155+K156+SUM(K158:K159)</f>
        <v>7788.8899999999994</v>
      </c>
      <c r="K160" s="61"/>
      <c r="L160" s="37">
        <f>Source!U52</f>
        <v>7.9660499999999983</v>
      </c>
      <c r="O160" s="23">
        <f>G160</f>
        <v>1270.1199999999999</v>
      </c>
      <c r="P160" s="23">
        <f>J160</f>
        <v>7788.8899999999994</v>
      </c>
      <c r="Q160" s="23">
        <f>L160</f>
        <v>7.9660499999999983</v>
      </c>
      <c r="W160">
        <f>IF(Source!BI52&lt;=1,H151+H152+H154+H155+H156, 0)</f>
        <v>464.06</v>
      </c>
      <c r="X160">
        <f>IF(Source!BI52=2,H151+H152+H154+H155+H156, 0)</f>
        <v>0</v>
      </c>
      <c r="Y160">
        <f>IF(Source!BI52=3,H151+H152+H154+H155+H156, 0)</f>
        <v>0</v>
      </c>
      <c r="Z160">
        <f>IF(Source!BI52=4,H151+H152+H154+H155+H156, 0)</f>
        <v>0</v>
      </c>
    </row>
    <row r="161" spans="1:26" ht="57" x14ac:dyDescent="0.2">
      <c r="A161" s="42" t="str">
        <f>Source!E55</f>
        <v>14</v>
      </c>
      <c r="B161" s="43" t="str">
        <f>Source!F55</f>
        <v>11-01-051-02</v>
      </c>
      <c r="C161" s="43" t="str">
        <f>Source!G55</f>
        <v>Устройство систем электрического отопления полов ("теплый пол") на основе нагревательного мата по готовому основанию</v>
      </c>
      <c r="D161" s="26" t="str">
        <f>Source!H55</f>
        <v>100 м2</v>
      </c>
      <c r="E161" s="10">
        <f>Source!I55</f>
        <v>0.08</v>
      </c>
      <c r="F161" s="27">
        <f>Source!AL55+Source!AM55+Source!AO55</f>
        <v>187.2</v>
      </c>
      <c r="G161" s="28"/>
      <c r="H161" s="27"/>
      <c r="I161" s="28" t="str">
        <f>Source!BO55</f>
        <v/>
      </c>
      <c r="J161" s="28"/>
      <c r="K161" s="27"/>
      <c r="L161" s="29"/>
      <c r="S161">
        <f>ROUND((Source!FX55/100)*((ROUND(Source!AF55*Source!I55, 2)+ROUND(Source!AE55*Source!I55, 2))), 2)</f>
        <v>22.57</v>
      </c>
      <c r="T161">
        <f>Source!X55</f>
        <v>138.72999999999999</v>
      </c>
      <c r="U161">
        <f>ROUND((Source!FY55/100)*((ROUND(Source!AF55*Source!I55, 2)+ROUND(Source!AE55*Source!I55, 2))), 2)</f>
        <v>13</v>
      </c>
      <c r="V161">
        <f>Source!Y55</f>
        <v>79.989999999999995</v>
      </c>
    </row>
    <row r="162" spans="1:26" x14ac:dyDescent="0.2">
      <c r="C162" s="22" t="str">
        <f>"Объем: "&amp;Source!I55&amp;"=8/"&amp;"100"</f>
        <v>Объем: 0,08=8/100</v>
      </c>
    </row>
    <row r="163" spans="1:26" ht="14.25" x14ac:dyDescent="0.2">
      <c r="A163" s="42"/>
      <c r="B163" s="43"/>
      <c r="C163" s="43" t="s">
        <v>1302</v>
      </c>
      <c r="D163" s="26"/>
      <c r="E163" s="10"/>
      <c r="F163" s="27">
        <f>Source!AO55</f>
        <v>184.42</v>
      </c>
      <c r="G163" s="28" t="str">
        <f>Source!DG55</f>
        <v>)*1,15)*1,2</v>
      </c>
      <c r="H163" s="27">
        <f>ROUND(Source!AF55*Source!I55, 2)</f>
        <v>20.36</v>
      </c>
      <c r="I163" s="28"/>
      <c r="J163" s="28">
        <f>IF(Source!BA55&lt;&gt; 0, Source!BA55, 1)</f>
        <v>6.13</v>
      </c>
      <c r="K163" s="27">
        <f>Source!S55</f>
        <v>124.81</v>
      </c>
      <c r="L163" s="29"/>
      <c r="R163">
        <f>H163</f>
        <v>20.36</v>
      </c>
    </row>
    <row r="164" spans="1:26" ht="14.25" x14ac:dyDescent="0.2">
      <c r="A164" s="42"/>
      <c r="B164" s="43"/>
      <c r="C164" s="43" t="s">
        <v>334</v>
      </c>
      <c r="D164" s="26"/>
      <c r="E164" s="10"/>
      <c r="F164" s="27">
        <f>Source!AM55</f>
        <v>1.32</v>
      </c>
      <c r="G164" s="28" t="str">
        <f>Source!DE55</f>
        <v>)*1,25)*1,2</v>
      </c>
      <c r="H164" s="27">
        <f>ROUND(Source!AD55*Source!I55, 2)</f>
        <v>0.16</v>
      </c>
      <c r="I164" s="28"/>
      <c r="J164" s="28">
        <f>IF(Source!BB55&lt;&gt; 0, Source!BB55, 1)</f>
        <v>6.13</v>
      </c>
      <c r="K164" s="27">
        <f>Source!Q55</f>
        <v>0.98</v>
      </c>
      <c r="L164" s="29"/>
    </row>
    <row r="165" spans="1:26" ht="14.25" x14ac:dyDescent="0.2">
      <c r="A165" s="42"/>
      <c r="B165" s="43"/>
      <c r="C165" s="43" t="s">
        <v>1303</v>
      </c>
      <c r="D165" s="26"/>
      <c r="E165" s="10"/>
      <c r="F165" s="27">
        <f>Source!AN55</f>
        <v>0.23</v>
      </c>
      <c r="G165" s="28" t="str">
        <f>Source!DF55</f>
        <v>)*1,25)*1,2</v>
      </c>
      <c r="H165" s="30">
        <f>ROUND(Source!AE55*Source!I55, 2)</f>
        <v>0.03</v>
      </c>
      <c r="I165" s="28"/>
      <c r="J165" s="28">
        <f>IF(Source!BS55&lt;&gt; 0, Source!BS55, 1)</f>
        <v>6.13</v>
      </c>
      <c r="K165" s="30">
        <f>Source!R55</f>
        <v>0.17</v>
      </c>
      <c r="L165" s="29"/>
      <c r="R165">
        <f>H165</f>
        <v>0.03</v>
      </c>
    </row>
    <row r="166" spans="1:26" ht="14.25" x14ac:dyDescent="0.2">
      <c r="A166" s="42"/>
      <c r="B166" s="43"/>
      <c r="C166" s="43" t="s">
        <v>1309</v>
      </c>
      <c r="D166" s="26"/>
      <c r="E166" s="10"/>
      <c r="F166" s="27">
        <f>Source!AL55</f>
        <v>1.46</v>
      </c>
      <c r="G166" s="28" t="str">
        <f>Source!DD55</f>
        <v/>
      </c>
      <c r="H166" s="27">
        <f>ROUND(Source!AC55*Source!I55, 2)</f>
        <v>0.12</v>
      </c>
      <c r="I166" s="28"/>
      <c r="J166" s="28">
        <f>IF(Source!BC55&lt;&gt; 0, Source!BC55, 1)</f>
        <v>6.13</v>
      </c>
      <c r="K166" s="27">
        <f>Source!P55</f>
        <v>0.72</v>
      </c>
      <c r="L166" s="29"/>
    </row>
    <row r="167" spans="1:26" ht="14.25" x14ac:dyDescent="0.2">
      <c r="A167" s="42"/>
      <c r="B167" s="43"/>
      <c r="C167" s="43" t="s">
        <v>1304</v>
      </c>
      <c r="D167" s="26" t="s">
        <v>1305</v>
      </c>
      <c r="E167" s="10">
        <f>Source!BZ55</f>
        <v>123</v>
      </c>
      <c r="F167" s="50" t="str">
        <f>CONCATENATE(" )", Source!DL55, Source!FT55, "=", Source!FX55)</f>
        <v xml:space="preserve"> )*0,9=110,7</v>
      </c>
      <c r="G167" s="62"/>
      <c r="H167" s="27">
        <f>SUM(S161:S172)</f>
        <v>22.57</v>
      </c>
      <c r="I167" s="31"/>
      <c r="J167" s="25">
        <f>Source!AT55</f>
        <v>111</v>
      </c>
      <c r="K167" s="27">
        <f>SUM(T161:T172)</f>
        <v>138.72999999999999</v>
      </c>
      <c r="L167" s="29"/>
    </row>
    <row r="168" spans="1:26" ht="14.25" x14ac:dyDescent="0.2">
      <c r="A168" s="42"/>
      <c r="B168" s="43"/>
      <c r="C168" s="43" t="s">
        <v>1306</v>
      </c>
      <c r="D168" s="26" t="s">
        <v>1305</v>
      </c>
      <c r="E168" s="10">
        <f>Source!CA55</f>
        <v>75</v>
      </c>
      <c r="F168" s="50" t="str">
        <f>CONCATENATE(" )", Source!DM55, Source!FU55, "=", Source!FY55)</f>
        <v xml:space="preserve"> )*0,85=63,75</v>
      </c>
      <c r="G168" s="62"/>
      <c r="H168" s="27">
        <f>SUM(U161:U172)</f>
        <v>13</v>
      </c>
      <c r="I168" s="31"/>
      <c r="J168" s="25">
        <f>Source!AU55</f>
        <v>64</v>
      </c>
      <c r="K168" s="27">
        <f>SUM(V161:V172)</f>
        <v>79.989999999999995</v>
      </c>
      <c r="L168" s="29"/>
    </row>
    <row r="169" spans="1:26" ht="14.25" x14ac:dyDescent="0.2">
      <c r="A169" s="42"/>
      <c r="B169" s="43"/>
      <c r="C169" s="43" t="s">
        <v>1307</v>
      </c>
      <c r="D169" s="26" t="s">
        <v>1308</v>
      </c>
      <c r="E169" s="10">
        <f>Source!AQ55</f>
        <v>19.170000000000002</v>
      </c>
      <c r="F169" s="27"/>
      <c r="G169" s="28" t="str">
        <f>Source!DI55</f>
        <v>)*1,15)*1,2</v>
      </c>
      <c r="H169" s="27"/>
      <c r="I169" s="28"/>
      <c r="J169" s="28"/>
      <c r="K169" s="27"/>
      <c r="L169" s="38">
        <f>Source!U55</f>
        <v>2.116368</v>
      </c>
    </row>
    <row r="170" spans="1:26" ht="42.75" x14ac:dyDescent="0.2">
      <c r="A170" s="42" t="str">
        <f>Source!E56</f>
        <v>14,1</v>
      </c>
      <c r="B170" s="43" t="str">
        <f>Source!F56</f>
        <v>01.7.18.03-0012</v>
      </c>
      <c r="C170" s="43" t="str">
        <f>Source!G56</f>
        <v>Мат нагревательный Ceilhit 22 PSVD/180-N50-1490, площадь обогрева 8,13 м2</v>
      </c>
      <c r="D170" s="26" t="str">
        <f>Source!H56</f>
        <v>компл.</v>
      </c>
      <c r="E170" s="10">
        <f>Source!I56</f>
        <v>1</v>
      </c>
      <c r="F170" s="27">
        <f>Source!AL56+Source!AM56+Source!AO56</f>
        <v>2728.72</v>
      </c>
      <c r="G170" s="39" t="s">
        <v>3</v>
      </c>
      <c r="H170" s="27">
        <f>ROUND(Source!AC56*Source!I56, 2)+ROUND(Source!AD56*Source!I56, 2)+ROUND(Source!AF56*Source!I56, 2)</f>
        <v>2728.72</v>
      </c>
      <c r="I170" s="28"/>
      <c r="J170" s="28">
        <f>IF(Source!BC56&lt;&gt; 0, Source!BC56, 1)</f>
        <v>6.13</v>
      </c>
      <c r="K170" s="27">
        <f>Source!O56</f>
        <v>16727.05</v>
      </c>
      <c r="L170" s="29"/>
      <c r="S170">
        <f>ROUND((Source!FX56/100)*((ROUND(Source!AF56*Source!I56, 2)+ROUND(Source!AE56*Source!I56, 2))), 2)</f>
        <v>0</v>
      </c>
      <c r="T170">
        <f>Source!X56</f>
        <v>0</v>
      </c>
      <c r="U170">
        <f>ROUND((Source!FY56/100)*((ROUND(Source!AF56*Source!I56, 2)+ROUND(Source!AE56*Source!I56, 2))), 2)</f>
        <v>0</v>
      </c>
      <c r="V170">
        <f>Source!Y56</f>
        <v>0</v>
      </c>
      <c r="W170">
        <f>IF(Source!BI56&lt;=1,H170, 0)</f>
        <v>2728.72</v>
      </c>
      <c r="X170">
        <f>IF(Source!BI56=2,H170, 0)</f>
        <v>0</v>
      </c>
      <c r="Y170">
        <f>IF(Source!BI56=3,H170, 0)</f>
        <v>0</v>
      </c>
      <c r="Z170">
        <f>IF(Source!BI56=4,H170, 0)</f>
        <v>0</v>
      </c>
    </row>
    <row r="171" spans="1:26" ht="28.5" x14ac:dyDescent="0.2">
      <c r="A171" s="42" t="str">
        <f>Source!E57</f>
        <v>14,2</v>
      </c>
      <c r="B171" s="43" t="str">
        <f>Source!F57</f>
        <v>01.7.18.03</v>
      </c>
      <c r="C171" s="43" t="str">
        <f>Source!G57</f>
        <v>Мат нагревательный для электрообогрева полов</v>
      </c>
      <c r="D171" s="26" t="str">
        <f>Source!H57</f>
        <v>м2</v>
      </c>
      <c r="E171" s="10">
        <f>Source!I57</f>
        <v>8</v>
      </c>
      <c r="F171" s="27">
        <f>Source!AL57+Source!AM57+Source!AO57</f>
        <v>0</v>
      </c>
      <c r="G171" s="39" t="s">
        <v>3</v>
      </c>
      <c r="H171" s="27">
        <f>ROUND(Source!AC57*Source!I57, 2)+ROUND(Source!AD57*Source!I57, 2)+ROUND(Source!AF57*Source!I57, 2)</f>
        <v>0</v>
      </c>
      <c r="I171" s="28"/>
      <c r="J171" s="28">
        <f>IF(Source!BC57&lt;&gt; 0, Source!BC57, 1)</f>
        <v>6.13</v>
      </c>
      <c r="K171" s="27">
        <f>Source!O57</f>
        <v>0</v>
      </c>
      <c r="L171" s="29"/>
      <c r="S171">
        <f>ROUND((Source!FX57/100)*((ROUND(Source!AF57*Source!I57, 2)+ROUND(Source!AE57*Source!I57, 2))), 2)</f>
        <v>0</v>
      </c>
      <c r="T171">
        <f>Source!X57</f>
        <v>0</v>
      </c>
      <c r="U171">
        <f>ROUND((Source!FY57/100)*((ROUND(Source!AF57*Source!I57, 2)+ROUND(Source!AE57*Source!I57, 2))), 2)</f>
        <v>0</v>
      </c>
      <c r="V171">
        <f>Source!Y57</f>
        <v>0</v>
      </c>
      <c r="W171">
        <f>IF(Source!BI57&lt;=1,H171, 0)</f>
        <v>0</v>
      </c>
      <c r="X171">
        <f>IF(Source!BI57=2,H171, 0)</f>
        <v>0</v>
      </c>
      <c r="Y171">
        <f>IF(Source!BI57=3,H171, 0)</f>
        <v>0</v>
      </c>
      <c r="Z171">
        <f>IF(Source!BI57=4,H171, 0)</f>
        <v>0</v>
      </c>
    </row>
    <row r="172" spans="1:26" ht="14.25" x14ac:dyDescent="0.2">
      <c r="A172" s="44" t="str">
        <f>Source!E58</f>
        <v>14,3</v>
      </c>
      <c r="B172" s="45" t="str">
        <f>Source!F58</f>
        <v>20.5.02.06-0035</v>
      </c>
      <c r="C172" s="45" t="str">
        <f>Source!G58</f>
        <v>Разветвительная коробка У-196</v>
      </c>
      <c r="D172" s="32" t="str">
        <f>Source!H58</f>
        <v>10 шт.</v>
      </c>
      <c r="E172" s="33">
        <f>Source!I58</f>
        <v>0.1</v>
      </c>
      <c r="F172" s="34">
        <f>Source!AL58+Source!AM58+Source!AO58</f>
        <v>34.200000000000003</v>
      </c>
      <c r="G172" s="40" t="s">
        <v>3</v>
      </c>
      <c r="H172" s="34">
        <f>ROUND(Source!AC58*Source!I58, 2)+ROUND(Source!AD58*Source!I58, 2)+ROUND(Source!AF58*Source!I58, 2)</f>
        <v>3.42</v>
      </c>
      <c r="I172" s="35"/>
      <c r="J172" s="35">
        <f>IF(Source!BC58&lt;&gt; 0, Source!BC58, 1)</f>
        <v>6.13</v>
      </c>
      <c r="K172" s="34">
        <f>Source!O58</f>
        <v>20.96</v>
      </c>
      <c r="L172" s="41"/>
      <c r="S172">
        <f>ROUND((Source!FX58/100)*((ROUND(Source!AF58*Source!I58, 2)+ROUND(Source!AE58*Source!I58, 2))), 2)</f>
        <v>0</v>
      </c>
      <c r="T172">
        <f>Source!X58</f>
        <v>0</v>
      </c>
      <c r="U172">
        <f>ROUND((Source!FY58/100)*((ROUND(Source!AF58*Source!I58, 2)+ROUND(Source!AE58*Source!I58, 2))), 2)</f>
        <v>0</v>
      </c>
      <c r="V172">
        <f>Source!Y58</f>
        <v>0</v>
      </c>
      <c r="W172">
        <f>IF(Source!BI58&lt;=1,H172, 0)</f>
        <v>3.42</v>
      </c>
      <c r="X172">
        <f>IF(Source!BI58=2,H172, 0)</f>
        <v>0</v>
      </c>
      <c r="Y172">
        <f>IF(Source!BI58=3,H172, 0)</f>
        <v>0</v>
      </c>
      <c r="Z172">
        <f>IF(Source!BI58=4,H172, 0)</f>
        <v>0</v>
      </c>
    </row>
    <row r="173" spans="1:26" ht="15" x14ac:dyDescent="0.25">
      <c r="G173" s="61">
        <f>H163+H164+H166+H167+H168+SUM(H170:H172)</f>
        <v>2788.35</v>
      </c>
      <c r="H173" s="61"/>
      <c r="J173" s="61">
        <f>K163+K164+K166+K167+K168+SUM(K170:K172)</f>
        <v>17093.239999999998</v>
      </c>
      <c r="K173" s="61"/>
      <c r="L173" s="37">
        <f>Source!U55</f>
        <v>2.116368</v>
      </c>
      <c r="O173" s="23">
        <f>G173</f>
        <v>2788.35</v>
      </c>
      <c r="P173" s="23">
        <f>J173</f>
        <v>17093.239999999998</v>
      </c>
      <c r="Q173" s="23">
        <f>L173</f>
        <v>2.116368</v>
      </c>
      <c r="W173">
        <f>IF(Source!BI55&lt;=1,H163+H164+H166+H167+H168, 0)</f>
        <v>56.21</v>
      </c>
      <c r="X173">
        <f>IF(Source!BI55=2,H163+H164+H166+H167+H168, 0)</f>
        <v>0</v>
      </c>
      <c r="Y173">
        <f>IF(Source!BI55=3,H163+H164+H166+H167+H168, 0)</f>
        <v>0</v>
      </c>
      <c r="Z173">
        <f>IF(Source!BI55=4,H163+H164+H166+H167+H168, 0)</f>
        <v>0</v>
      </c>
    </row>
    <row r="174" spans="1:26" ht="28.5" x14ac:dyDescent="0.2">
      <c r="A174" s="42" t="str">
        <f>Source!E59</f>
        <v>15</v>
      </c>
      <c r="B174" s="43" t="str">
        <f>Source!F59</f>
        <v>11-01-011-03</v>
      </c>
      <c r="C174" s="43" t="str">
        <f>Source!G59</f>
        <v>Устройство стяжек бетонных толщиной 20 мм (50мм)</v>
      </c>
      <c r="D174" s="26" t="str">
        <f>Source!H59</f>
        <v>100 м2</v>
      </c>
      <c r="E174" s="10">
        <f>Source!I59</f>
        <v>0.125</v>
      </c>
      <c r="F174" s="27">
        <f>Source!AL59+Source!AM59+Source!AO59</f>
        <v>367.65999999999997</v>
      </c>
      <c r="G174" s="28"/>
      <c r="H174" s="27"/>
      <c r="I174" s="28" t="str">
        <f>Source!BO59</f>
        <v/>
      </c>
      <c r="J174" s="28"/>
      <c r="K174" s="27"/>
      <c r="L174" s="29"/>
      <c r="S174">
        <f>ROUND((Source!FX59/100)*((ROUND(Source!AF59*Source!I59, 2)+ROUND(Source!AE59*Source!I59, 2))), 2)</f>
        <v>160.27000000000001</v>
      </c>
      <c r="T174">
        <f>Source!X59</f>
        <v>985.09</v>
      </c>
      <c r="U174">
        <f>ROUND((Source!FY59/100)*((ROUND(Source!AF59*Source!I59, 2)+ROUND(Source!AE59*Source!I59, 2))), 2)</f>
        <v>92.3</v>
      </c>
      <c r="V174">
        <f>Source!Y59</f>
        <v>567.98</v>
      </c>
    </row>
    <row r="175" spans="1:26" x14ac:dyDescent="0.2">
      <c r="C175" s="22" t="str">
        <f>"Объем: "&amp;Source!I59&amp;"=12,5/"&amp;"100"</f>
        <v>Объем: 0,125=12,5/100</v>
      </c>
    </row>
    <row r="176" spans="1:26" ht="28.5" x14ac:dyDescent="0.2">
      <c r="A176" s="42"/>
      <c r="B176" s="43"/>
      <c r="C176" s="43" t="s">
        <v>1302</v>
      </c>
      <c r="D176" s="26"/>
      <c r="E176" s="10"/>
      <c r="F176" s="27">
        <f>Source!AO59</f>
        <v>317.07</v>
      </c>
      <c r="G176" s="28" t="str">
        <f>Source!DG59</f>
        <v>)*1,15*2,5)*1,2</v>
      </c>
      <c r="H176" s="27">
        <f>ROUND(Source!AF59*Source!I59, 2)</f>
        <v>136.74</v>
      </c>
      <c r="I176" s="28"/>
      <c r="J176" s="28">
        <f>IF(Source!BA59&lt;&gt; 0, Source!BA59, 1)</f>
        <v>6.13</v>
      </c>
      <c r="K176" s="27">
        <f>Source!S59</f>
        <v>838.19</v>
      </c>
      <c r="L176" s="29"/>
      <c r="R176">
        <f>H176</f>
        <v>136.74</v>
      </c>
    </row>
    <row r="177" spans="1:26" ht="28.5" x14ac:dyDescent="0.2">
      <c r="A177" s="42"/>
      <c r="B177" s="43"/>
      <c r="C177" s="43" t="s">
        <v>334</v>
      </c>
      <c r="D177" s="26"/>
      <c r="E177" s="10"/>
      <c r="F177" s="27">
        <f>Source!AM59</f>
        <v>42.05</v>
      </c>
      <c r="G177" s="28" t="str">
        <f>Source!DE59</f>
        <v>)*1,25*2,5)*1,2</v>
      </c>
      <c r="H177" s="27">
        <f>ROUND(Source!AD59*Source!I59, 2)</f>
        <v>19.71</v>
      </c>
      <c r="I177" s="28"/>
      <c r="J177" s="28">
        <f>IF(Source!BB59&lt;&gt; 0, Source!BB59, 1)</f>
        <v>6.13</v>
      </c>
      <c r="K177" s="27">
        <f>Source!Q59</f>
        <v>120.83</v>
      </c>
      <c r="L177" s="29"/>
    </row>
    <row r="178" spans="1:26" ht="28.5" x14ac:dyDescent="0.2">
      <c r="A178" s="42"/>
      <c r="B178" s="43"/>
      <c r="C178" s="43" t="s">
        <v>1303</v>
      </c>
      <c r="D178" s="26"/>
      <c r="E178" s="10"/>
      <c r="F178" s="27">
        <f>Source!AN59</f>
        <v>17.149999999999999</v>
      </c>
      <c r="G178" s="28" t="str">
        <f>Source!DF59</f>
        <v>)*1,25*2,5)*1,2</v>
      </c>
      <c r="H178" s="30">
        <f>ROUND(Source!AE59*Source!I59, 2)</f>
        <v>8.0399999999999991</v>
      </c>
      <c r="I178" s="28"/>
      <c r="J178" s="28">
        <f>IF(Source!BS59&lt;&gt; 0, Source!BS59, 1)</f>
        <v>6.13</v>
      </c>
      <c r="K178" s="30">
        <f>Source!R59</f>
        <v>49.28</v>
      </c>
      <c r="L178" s="29"/>
      <c r="R178">
        <f>H178</f>
        <v>8.0399999999999991</v>
      </c>
    </row>
    <row r="179" spans="1:26" ht="14.25" x14ac:dyDescent="0.2">
      <c r="A179" s="42"/>
      <c r="B179" s="43"/>
      <c r="C179" s="43" t="s">
        <v>1309</v>
      </c>
      <c r="D179" s="26"/>
      <c r="E179" s="10"/>
      <c r="F179" s="27">
        <f>Source!AL59</f>
        <v>8.5399999999999991</v>
      </c>
      <c r="G179" s="28" t="str">
        <f>Source!DD59</f>
        <v>*2,5</v>
      </c>
      <c r="H179" s="27">
        <f>ROUND(Source!AC59*Source!I59, 2)</f>
        <v>2.67</v>
      </c>
      <c r="I179" s="28"/>
      <c r="J179" s="28">
        <f>IF(Source!BC59&lt;&gt; 0, Source!BC59, 1)</f>
        <v>6.13</v>
      </c>
      <c r="K179" s="27">
        <f>Source!P59</f>
        <v>16.36</v>
      </c>
      <c r="L179" s="29"/>
    </row>
    <row r="180" spans="1:26" ht="14.25" x14ac:dyDescent="0.2">
      <c r="A180" s="42"/>
      <c r="B180" s="43"/>
      <c r="C180" s="43" t="s">
        <v>1304</v>
      </c>
      <c r="D180" s="26" t="s">
        <v>1305</v>
      </c>
      <c r="E180" s="10">
        <f>Source!BZ59</f>
        <v>123</v>
      </c>
      <c r="F180" s="50" t="str">
        <f>CONCATENATE(" )", Source!DL59, Source!FT59, "=", Source!FX59)</f>
        <v xml:space="preserve"> )*0,9=110,7</v>
      </c>
      <c r="G180" s="62"/>
      <c r="H180" s="27">
        <f>SUM(S174:S184)</f>
        <v>160.27000000000001</v>
      </c>
      <c r="I180" s="31"/>
      <c r="J180" s="25">
        <f>Source!AT59</f>
        <v>111</v>
      </c>
      <c r="K180" s="27">
        <f>SUM(T174:T184)</f>
        <v>985.09</v>
      </c>
      <c r="L180" s="29"/>
    </row>
    <row r="181" spans="1:26" ht="14.25" x14ac:dyDescent="0.2">
      <c r="A181" s="42"/>
      <c r="B181" s="43"/>
      <c r="C181" s="43" t="s">
        <v>1306</v>
      </c>
      <c r="D181" s="26" t="s">
        <v>1305</v>
      </c>
      <c r="E181" s="10">
        <f>Source!CA59</f>
        <v>75</v>
      </c>
      <c r="F181" s="50" t="str">
        <f>CONCATENATE(" )", Source!DM59, Source!FU59, "=", Source!FY59)</f>
        <v xml:space="preserve"> )*0,85=63,75</v>
      </c>
      <c r="G181" s="62"/>
      <c r="H181" s="27">
        <f>SUM(U174:U184)</f>
        <v>92.3</v>
      </c>
      <c r="I181" s="31"/>
      <c r="J181" s="25">
        <f>Source!AU59</f>
        <v>64</v>
      </c>
      <c r="K181" s="27">
        <f>SUM(V174:V184)</f>
        <v>567.98</v>
      </c>
      <c r="L181" s="29"/>
    </row>
    <row r="182" spans="1:26" ht="28.5" x14ac:dyDescent="0.2">
      <c r="A182" s="42"/>
      <c r="B182" s="43"/>
      <c r="C182" s="43" t="s">
        <v>1307</v>
      </c>
      <c r="D182" s="26" t="s">
        <v>1308</v>
      </c>
      <c r="E182" s="10">
        <f>Source!AQ59</f>
        <v>40.65</v>
      </c>
      <c r="F182" s="27"/>
      <c r="G182" s="28" t="str">
        <f>Source!DI59</f>
        <v>)*1,15*2,5)*1,2</v>
      </c>
      <c r="H182" s="27"/>
      <c r="I182" s="28"/>
      <c r="J182" s="28"/>
      <c r="K182" s="27"/>
      <c r="L182" s="38">
        <f>Source!U59</f>
        <v>17.530312499999997</v>
      </c>
    </row>
    <row r="183" spans="1:26" ht="28.5" x14ac:dyDescent="0.2">
      <c r="A183" s="42" t="str">
        <f>Source!E60</f>
        <v>15,1</v>
      </c>
      <c r="B183" s="43" t="str">
        <f>Source!F60</f>
        <v>04.1.02.05-0074</v>
      </c>
      <c r="C183" s="43" t="str">
        <f>Source!G60</f>
        <v>Бетон тяжелый, крупность заполнителя более 40 мм, класс В7,5 (М100)</v>
      </c>
      <c r="D183" s="26" t="str">
        <f>Source!H60</f>
        <v>м3</v>
      </c>
      <c r="E183" s="10">
        <f>Source!I60</f>
        <v>0.63749999999999996</v>
      </c>
      <c r="F183" s="27">
        <f>Source!AL60+Source!AM60+Source!AO60</f>
        <v>560</v>
      </c>
      <c r="G183" s="39" t="s">
        <v>3</v>
      </c>
      <c r="H183" s="27">
        <f>ROUND(Source!AC60*Source!I60, 2)+ROUND(Source!AD60*Source!I60, 2)+ROUND(Source!AF60*Source!I60, 2)</f>
        <v>357</v>
      </c>
      <c r="I183" s="28"/>
      <c r="J183" s="28">
        <f>IF(Source!BC60&lt;&gt; 0, Source!BC60, 1)</f>
        <v>6.13</v>
      </c>
      <c r="K183" s="27">
        <f>Source!O60</f>
        <v>2188.41</v>
      </c>
      <c r="L183" s="29"/>
      <c r="S183">
        <f>ROUND((Source!FX60/100)*((ROUND(Source!AF60*Source!I60, 2)+ROUND(Source!AE60*Source!I60, 2))), 2)</f>
        <v>0</v>
      </c>
      <c r="T183">
        <f>Source!X60</f>
        <v>0</v>
      </c>
      <c r="U183">
        <f>ROUND((Source!FY60/100)*((ROUND(Source!AF60*Source!I60, 2)+ROUND(Source!AE60*Source!I60, 2))), 2)</f>
        <v>0</v>
      </c>
      <c r="V183">
        <f>Source!Y60</f>
        <v>0</v>
      </c>
      <c r="W183">
        <f>IF(Source!BI60&lt;=1,H183, 0)</f>
        <v>357</v>
      </c>
      <c r="X183">
        <f>IF(Source!BI60=2,H183, 0)</f>
        <v>0</v>
      </c>
      <c r="Y183">
        <f>IF(Source!BI60=3,H183, 0)</f>
        <v>0</v>
      </c>
      <c r="Z183">
        <f>IF(Source!BI60=4,H183, 0)</f>
        <v>0</v>
      </c>
    </row>
    <row r="184" spans="1:26" ht="14.25" x14ac:dyDescent="0.2">
      <c r="A184" s="44" t="str">
        <f>Source!E61</f>
        <v>15,2</v>
      </c>
      <c r="B184" s="45" t="str">
        <f>Source!F61</f>
        <v>04.1.02.06</v>
      </c>
      <c r="C184" s="45" t="str">
        <f>Source!G61</f>
        <v>Бетон тяжелый</v>
      </c>
      <c r="D184" s="32" t="str">
        <f>Source!H61</f>
        <v>м3</v>
      </c>
      <c r="E184" s="33">
        <f>Source!I61</f>
        <v>0.63749999999999996</v>
      </c>
      <c r="F184" s="34">
        <f>Source!AL61+Source!AM61+Source!AO61</f>
        <v>0</v>
      </c>
      <c r="G184" s="40" t="s">
        <v>1310</v>
      </c>
      <c r="H184" s="34">
        <f>ROUND(Source!AC61*Source!I61, 2)+ROUND(Source!AD61*Source!I61, 2)+ROUND(Source!AF61*Source!I61, 2)</f>
        <v>0</v>
      </c>
      <c r="I184" s="35"/>
      <c r="J184" s="35">
        <f>IF(Source!BC61&lt;&gt; 0, Source!BC61, 1)</f>
        <v>6.13</v>
      </c>
      <c r="K184" s="34">
        <f>Source!O61</f>
        <v>0</v>
      </c>
      <c r="L184" s="41"/>
      <c r="S184">
        <f>ROUND((Source!FX61/100)*((ROUND(Source!AF61*Source!I61, 2)+ROUND(Source!AE61*Source!I61, 2))), 2)</f>
        <v>0</v>
      </c>
      <c r="T184">
        <f>Source!X61</f>
        <v>0</v>
      </c>
      <c r="U184">
        <f>ROUND((Source!FY61/100)*((ROUND(Source!AF61*Source!I61, 2)+ROUND(Source!AE61*Source!I61, 2))), 2)</f>
        <v>0</v>
      </c>
      <c r="V184">
        <f>Source!Y61</f>
        <v>0</v>
      </c>
      <c r="W184">
        <f>IF(Source!BI61&lt;=1,H184, 0)</f>
        <v>0</v>
      </c>
      <c r="X184">
        <f>IF(Source!BI61=2,H184, 0)</f>
        <v>0</v>
      </c>
      <c r="Y184">
        <f>IF(Source!BI61=3,H184, 0)</f>
        <v>0</v>
      </c>
      <c r="Z184">
        <f>IF(Source!BI61=4,H184, 0)</f>
        <v>0</v>
      </c>
    </row>
    <row r="185" spans="1:26" ht="15" x14ac:dyDescent="0.25">
      <c r="G185" s="61">
        <f>H176+H177+H179+H180+H181+SUM(H183:H184)</f>
        <v>768.69</v>
      </c>
      <c r="H185" s="61"/>
      <c r="J185" s="61">
        <f>K176+K177+K179+K180+K181+SUM(K183:K184)</f>
        <v>4716.8600000000006</v>
      </c>
      <c r="K185" s="61"/>
      <c r="L185" s="37">
        <f>Source!U59</f>
        <v>17.530312499999997</v>
      </c>
      <c r="O185" s="23">
        <f>G185</f>
        <v>768.69</v>
      </c>
      <c r="P185" s="23">
        <f>J185</f>
        <v>4716.8600000000006</v>
      </c>
      <c r="Q185" s="23">
        <f>L185</f>
        <v>17.530312499999997</v>
      </c>
      <c r="W185">
        <f>IF(Source!BI59&lt;=1,H176+H177+H179+H180+H181, 0)</f>
        <v>411.69</v>
      </c>
      <c r="X185">
        <f>IF(Source!BI59=2,H176+H177+H179+H180+H181, 0)</f>
        <v>0</v>
      </c>
      <c r="Y185">
        <f>IF(Source!BI59=3,H176+H177+H179+H180+H181, 0)</f>
        <v>0</v>
      </c>
      <c r="Z185">
        <f>IF(Source!BI59=4,H176+H177+H179+H180+H181, 0)</f>
        <v>0</v>
      </c>
    </row>
    <row r="186" spans="1:26" ht="99.75" x14ac:dyDescent="0.2">
      <c r="A186" s="42" t="str">
        <f>Source!E62</f>
        <v>16</v>
      </c>
      <c r="B186" s="43" t="str">
        <f>Source!F62</f>
        <v>11-01-027-06</v>
      </c>
      <c r="C186" s="43" t="str">
        <f>Source!G62</f>
        <v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 (6м2 - крыльцо) (согласно тех.заданию)</v>
      </c>
      <c r="D186" s="26" t="str">
        <f>Source!H62</f>
        <v>100 м2</v>
      </c>
      <c r="E186" s="10">
        <f>Source!I62</f>
        <v>0.125</v>
      </c>
      <c r="F186" s="27">
        <f>Source!AL62+Source!AM62+Source!AO62</f>
        <v>9047.81</v>
      </c>
      <c r="G186" s="28"/>
      <c r="H186" s="27"/>
      <c r="I186" s="28" t="str">
        <f>Source!BO62</f>
        <v/>
      </c>
      <c r="J186" s="28"/>
      <c r="K186" s="27"/>
      <c r="L186" s="29"/>
      <c r="S186">
        <f>ROUND((Source!FX62/100)*((ROUND(Source!AF62*Source!I62, 2)+ROUND(Source!AE62*Source!I62, 2))), 2)</f>
        <v>211.04</v>
      </c>
      <c r="T186">
        <f>Source!X62</f>
        <v>1297.1600000000001</v>
      </c>
      <c r="U186">
        <f>ROUND((Source!FY62/100)*((ROUND(Source!AF62*Source!I62, 2)+ROUND(Source!AE62*Source!I62, 2))), 2)</f>
        <v>121.53</v>
      </c>
      <c r="V186">
        <f>Source!Y62</f>
        <v>747.91</v>
      </c>
    </row>
    <row r="187" spans="1:26" x14ac:dyDescent="0.2">
      <c r="C187" s="22" t="str">
        <f>"Объем: "&amp;Source!I62&amp;"=12,5/"&amp;"100"</f>
        <v>Объем: 0,125=12,5/100</v>
      </c>
    </row>
    <row r="188" spans="1:26" ht="14.25" x14ac:dyDescent="0.2">
      <c r="A188" s="42"/>
      <c r="B188" s="43"/>
      <c r="C188" s="43" t="s">
        <v>1302</v>
      </c>
      <c r="D188" s="26"/>
      <c r="E188" s="10"/>
      <c r="F188" s="27">
        <f>Source!AO62</f>
        <v>1046.8800000000001</v>
      </c>
      <c r="G188" s="28" t="str">
        <f>Source!DG62</f>
        <v>)*1,15)*1,2</v>
      </c>
      <c r="H188" s="27">
        <f>ROUND(Source!AF62*Source!I62, 2)</f>
        <v>180.59</v>
      </c>
      <c r="I188" s="28"/>
      <c r="J188" s="28">
        <f>IF(Source!BA62&lt;&gt; 0, Source!BA62, 1)</f>
        <v>6.13</v>
      </c>
      <c r="K188" s="27">
        <f>Source!S62</f>
        <v>1106.99</v>
      </c>
      <c r="L188" s="29"/>
      <c r="R188">
        <f>H188</f>
        <v>180.59</v>
      </c>
    </row>
    <row r="189" spans="1:26" ht="14.25" x14ac:dyDescent="0.2">
      <c r="A189" s="42"/>
      <c r="B189" s="43"/>
      <c r="C189" s="43" t="s">
        <v>334</v>
      </c>
      <c r="D189" s="26"/>
      <c r="E189" s="10"/>
      <c r="F189" s="27">
        <f>Source!AM62</f>
        <v>142.03</v>
      </c>
      <c r="G189" s="28" t="str">
        <f>Source!DE62</f>
        <v>)*1,25)*1,2</v>
      </c>
      <c r="H189" s="27">
        <f>ROUND(Source!AD62*Source!I62, 2)</f>
        <v>26.63</v>
      </c>
      <c r="I189" s="28"/>
      <c r="J189" s="28">
        <f>IF(Source!BB62&lt;&gt; 0, Source!BB62, 1)</f>
        <v>6.13</v>
      </c>
      <c r="K189" s="27">
        <f>Source!Q62</f>
        <v>163.25</v>
      </c>
      <c r="L189" s="29"/>
    </row>
    <row r="190" spans="1:26" ht="14.25" x14ac:dyDescent="0.2">
      <c r="A190" s="42"/>
      <c r="B190" s="43"/>
      <c r="C190" s="43" t="s">
        <v>1303</v>
      </c>
      <c r="D190" s="26"/>
      <c r="E190" s="10"/>
      <c r="F190" s="27">
        <f>Source!AN62</f>
        <v>53.61</v>
      </c>
      <c r="G190" s="28" t="str">
        <f>Source!DF62</f>
        <v>)*1,25)*1,2</v>
      </c>
      <c r="H190" s="30">
        <f>ROUND(Source!AE62*Source!I62, 2)</f>
        <v>10.050000000000001</v>
      </c>
      <c r="I190" s="28"/>
      <c r="J190" s="28">
        <f>IF(Source!BS62&lt;&gt; 0, Source!BS62, 1)</f>
        <v>6.13</v>
      </c>
      <c r="K190" s="30">
        <f>Source!R62</f>
        <v>61.62</v>
      </c>
      <c r="L190" s="29"/>
      <c r="R190">
        <f>H190</f>
        <v>10.050000000000001</v>
      </c>
    </row>
    <row r="191" spans="1:26" ht="14.25" x14ac:dyDescent="0.2">
      <c r="A191" s="42"/>
      <c r="B191" s="43"/>
      <c r="C191" s="43" t="s">
        <v>1309</v>
      </c>
      <c r="D191" s="26"/>
      <c r="E191" s="10"/>
      <c r="F191" s="27">
        <f>Source!AL62</f>
        <v>7858.9</v>
      </c>
      <c r="G191" s="28" t="str">
        <f>Source!DD62</f>
        <v/>
      </c>
      <c r="H191" s="27">
        <f>ROUND(Source!AC62*Source!I62, 2)</f>
        <v>982.36</v>
      </c>
      <c r="I191" s="28"/>
      <c r="J191" s="28">
        <f>IF(Source!BC62&lt;&gt; 0, Source!BC62, 1)</f>
        <v>6.13</v>
      </c>
      <c r="K191" s="27">
        <f>Source!P62</f>
        <v>6021.88</v>
      </c>
      <c r="L191" s="29"/>
    </row>
    <row r="192" spans="1:26" ht="14.25" x14ac:dyDescent="0.2">
      <c r="A192" s="42"/>
      <c r="B192" s="43"/>
      <c r="C192" s="43" t="s">
        <v>1304</v>
      </c>
      <c r="D192" s="26" t="s">
        <v>1305</v>
      </c>
      <c r="E192" s="10">
        <f>Source!BZ62</f>
        <v>123</v>
      </c>
      <c r="F192" s="50" t="str">
        <f>CONCATENATE(" )", Source!DL62, Source!FT62, "=", Source!FX62)</f>
        <v xml:space="preserve"> )*0,9=110,7</v>
      </c>
      <c r="G192" s="62"/>
      <c r="H192" s="27">
        <f>SUM(S186:S194)</f>
        <v>211.04</v>
      </c>
      <c r="I192" s="31"/>
      <c r="J192" s="25">
        <f>Source!AT62</f>
        <v>111</v>
      </c>
      <c r="K192" s="27">
        <f>SUM(T186:T194)</f>
        <v>1297.1600000000001</v>
      </c>
      <c r="L192" s="29"/>
    </row>
    <row r="193" spans="1:26" ht="14.25" x14ac:dyDescent="0.2">
      <c r="A193" s="42"/>
      <c r="B193" s="43"/>
      <c r="C193" s="43" t="s">
        <v>1306</v>
      </c>
      <c r="D193" s="26" t="s">
        <v>1305</v>
      </c>
      <c r="E193" s="10">
        <f>Source!CA62</f>
        <v>75</v>
      </c>
      <c r="F193" s="50" t="str">
        <f>CONCATENATE(" )", Source!DM62, Source!FU62, "=", Source!FY62)</f>
        <v xml:space="preserve"> )*0,85=63,75</v>
      </c>
      <c r="G193" s="62"/>
      <c r="H193" s="27">
        <f>SUM(U186:U194)</f>
        <v>121.53</v>
      </c>
      <c r="I193" s="31"/>
      <c r="J193" s="25">
        <f>Source!AU62</f>
        <v>64</v>
      </c>
      <c r="K193" s="27">
        <f>SUM(V186:V194)</f>
        <v>747.91</v>
      </c>
      <c r="L193" s="29"/>
    </row>
    <row r="194" spans="1:26" ht="14.25" x14ac:dyDescent="0.2">
      <c r="A194" s="44"/>
      <c r="B194" s="45"/>
      <c r="C194" s="45" t="s">
        <v>1307</v>
      </c>
      <c r="D194" s="32" t="s">
        <v>1308</v>
      </c>
      <c r="E194" s="33">
        <f>Source!AQ62</f>
        <v>119.78</v>
      </c>
      <c r="F194" s="34"/>
      <c r="G194" s="35" t="str">
        <f>Source!DI62</f>
        <v>)*1,15)*1,2</v>
      </c>
      <c r="H194" s="34"/>
      <c r="I194" s="35"/>
      <c r="J194" s="35"/>
      <c r="K194" s="34"/>
      <c r="L194" s="36">
        <f>Source!U62</f>
        <v>20.662049999999997</v>
      </c>
    </row>
    <row r="195" spans="1:26" ht="15" x14ac:dyDescent="0.25">
      <c r="G195" s="61">
        <f>H188+H189+H191+H192+H193</f>
        <v>1522.1499999999999</v>
      </c>
      <c r="H195" s="61"/>
      <c r="J195" s="61">
        <f>K188+K189+K191+K192+K193</f>
        <v>9337.19</v>
      </c>
      <c r="K195" s="61"/>
      <c r="L195" s="37">
        <f>Source!U62</f>
        <v>20.662049999999997</v>
      </c>
      <c r="O195" s="23">
        <f>G195</f>
        <v>1522.1499999999999</v>
      </c>
      <c r="P195" s="23">
        <f>J195</f>
        <v>9337.19</v>
      </c>
      <c r="Q195" s="23">
        <f>L195</f>
        <v>20.662049999999997</v>
      </c>
      <c r="W195">
        <f>IF(Source!BI62&lt;=1,H188+H189+H191+H192+H193, 0)</f>
        <v>1522.1499999999999</v>
      </c>
      <c r="X195">
        <f>IF(Source!BI62=2,H188+H189+H191+H192+H193, 0)</f>
        <v>0</v>
      </c>
      <c r="Y195">
        <f>IF(Source!BI62=3,H188+H189+H191+H192+H193, 0)</f>
        <v>0</v>
      </c>
      <c r="Z195">
        <f>IF(Source!BI62=4,H188+H189+H191+H192+H193, 0)</f>
        <v>0</v>
      </c>
    </row>
    <row r="196" spans="1:26" ht="28.5" x14ac:dyDescent="0.2">
      <c r="A196" s="42" t="str">
        <f>Source!E63</f>
        <v>17</v>
      </c>
      <c r="B196" s="43" t="str">
        <f>Source!F63</f>
        <v>11-01-047-01</v>
      </c>
      <c r="C196" s="43" t="str">
        <f>Source!G63</f>
        <v>Устройство покрытий из плит керамогранитных размером 40х40 см</v>
      </c>
      <c r="D196" s="26" t="str">
        <f>Source!H63</f>
        <v>100 м2</v>
      </c>
      <c r="E196" s="10">
        <f>Source!I63</f>
        <v>0.06</v>
      </c>
      <c r="F196" s="27">
        <f>Source!AL63+Source!AM63+Source!AO63</f>
        <v>21576.86</v>
      </c>
      <c r="G196" s="28"/>
      <c r="H196" s="27"/>
      <c r="I196" s="28" t="str">
        <f>Source!BO63</f>
        <v/>
      </c>
      <c r="J196" s="28"/>
      <c r="K196" s="27"/>
      <c r="L196" s="29"/>
      <c r="S196">
        <f>ROUND((Source!FX63/100)*((ROUND(Source!AF63*Source!I63, 2)+ROUND(Source!AE63*Source!I63, 2))), 2)</f>
        <v>250.43</v>
      </c>
      <c r="T196">
        <f>Source!X63</f>
        <v>1539.26</v>
      </c>
      <c r="U196">
        <f>ROUND((Source!FY63/100)*((ROUND(Source!AF63*Source!I63, 2)+ROUND(Source!AE63*Source!I63, 2))), 2)</f>
        <v>144.22</v>
      </c>
      <c r="V196">
        <f>Source!Y63</f>
        <v>887.5</v>
      </c>
    </row>
    <row r="197" spans="1:26" x14ac:dyDescent="0.2">
      <c r="C197" s="22" t="str">
        <f>"Объем: "&amp;Source!I63&amp;"=6/"&amp;"100"</f>
        <v>Объем: 0,06=6/100</v>
      </c>
    </row>
    <row r="198" spans="1:26" ht="14.25" x14ac:dyDescent="0.2">
      <c r="A198" s="42"/>
      <c r="B198" s="43"/>
      <c r="C198" s="43" t="s">
        <v>1302</v>
      </c>
      <c r="D198" s="26"/>
      <c r="E198" s="10"/>
      <c r="F198" s="27">
        <f>Source!AO63</f>
        <v>2713.07</v>
      </c>
      <c r="G198" s="28" t="str">
        <f>Source!DG63</f>
        <v>)*1,15)*1,2</v>
      </c>
      <c r="H198" s="27">
        <f>ROUND(Source!AF63*Source!I63, 2)</f>
        <v>224.64</v>
      </c>
      <c r="I198" s="28"/>
      <c r="J198" s="28">
        <f>IF(Source!BA63&lt;&gt; 0, Source!BA63, 1)</f>
        <v>6.13</v>
      </c>
      <c r="K198" s="27">
        <f>Source!S63</f>
        <v>1377.06</v>
      </c>
      <c r="L198" s="29"/>
      <c r="R198">
        <f>H198</f>
        <v>224.64</v>
      </c>
    </row>
    <row r="199" spans="1:26" ht="14.25" x14ac:dyDescent="0.2">
      <c r="A199" s="42"/>
      <c r="B199" s="43"/>
      <c r="C199" s="43" t="s">
        <v>334</v>
      </c>
      <c r="D199" s="26"/>
      <c r="E199" s="10"/>
      <c r="F199" s="27">
        <f>Source!AM63</f>
        <v>24.15</v>
      </c>
      <c r="G199" s="28" t="str">
        <f>Source!DE63</f>
        <v>)*1,25)*1,2</v>
      </c>
      <c r="H199" s="27">
        <f>ROUND(Source!AD63*Source!I63, 2)</f>
        <v>2.17</v>
      </c>
      <c r="I199" s="28"/>
      <c r="J199" s="28">
        <f>IF(Source!BB63&lt;&gt; 0, Source!BB63, 1)</f>
        <v>6.13</v>
      </c>
      <c r="K199" s="27">
        <f>Source!Q63</f>
        <v>13.33</v>
      </c>
      <c r="L199" s="29"/>
    </row>
    <row r="200" spans="1:26" ht="14.25" x14ac:dyDescent="0.2">
      <c r="A200" s="42"/>
      <c r="B200" s="43"/>
      <c r="C200" s="43" t="s">
        <v>1303</v>
      </c>
      <c r="D200" s="26"/>
      <c r="E200" s="10"/>
      <c r="F200" s="27">
        <f>Source!AN63</f>
        <v>17.510000000000002</v>
      </c>
      <c r="G200" s="28" t="str">
        <f>Source!DF63</f>
        <v>)*1,25)*1,2</v>
      </c>
      <c r="H200" s="30">
        <f>ROUND(Source!AE63*Source!I63, 2)</f>
        <v>1.58</v>
      </c>
      <c r="I200" s="28"/>
      <c r="J200" s="28">
        <f>IF(Source!BS63&lt;&gt; 0, Source!BS63, 1)</f>
        <v>6.13</v>
      </c>
      <c r="K200" s="30">
        <f>Source!R63</f>
        <v>9.66</v>
      </c>
      <c r="L200" s="29"/>
      <c r="R200">
        <f>H200</f>
        <v>1.58</v>
      </c>
    </row>
    <row r="201" spans="1:26" ht="14.25" x14ac:dyDescent="0.2">
      <c r="A201" s="42"/>
      <c r="B201" s="43"/>
      <c r="C201" s="43" t="s">
        <v>1309</v>
      </c>
      <c r="D201" s="26"/>
      <c r="E201" s="10"/>
      <c r="F201" s="27">
        <f>Source!AL63</f>
        <v>18839.64</v>
      </c>
      <c r="G201" s="28" t="str">
        <f>Source!DD63</f>
        <v/>
      </c>
      <c r="H201" s="27">
        <f>ROUND(Source!AC63*Source!I63, 2)</f>
        <v>1130.3800000000001</v>
      </c>
      <c r="I201" s="28"/>
      <c r="J201" s="28">
        <f>IF(Source!BC63&lt;&gt; 0, Source!BC63, 1)</f>
        <v>6.13</v>
      </c>
      <c r="K201" s="27">
        <f>Source!P63</f>
        <v>6929.22</v>
      </c>
      <c r="L201" s="29"/>
    </row>
    <row r="202" spans="1:26" ht="14.25" x14ac:dyDescent="0.2">
      <c r="A202" s="42"/>
      <c r="B202" s="43"/>
      <c r="C202" s="43" t="s">
        <v>1304</v>
      </c>
      <c r="D202" s="26" t="s">
        <v>1305</v>
      </c>
      <c r="E202" s="10">
        <f>Source!BZ63</f>
        <v>123</v>
      </c>
      <c r="F202" s="50" t="str">
        <f>CONCATENATE(" )", Source!DL63, Source!FT63, "=", Source!FX63)</f>
        <v xml:space="preserve"> )*0,9=110,7</v>
      </c>
      <c r="G202" s="62"/>
      <c r="H202" s="27">
        <f>SUM(S196:S206)</f>
        <v>250.43</v>
      </c>
      <c r="I202" s="31"/>
      <c r="J202" s="25">
        <f>Source!AT63</f>
        <v>111</v>
      </c>
      <c r="K202" s="27">
        <f>SUM(T196:T206)</f>
        <v>1539.26</v>
      </c>
      <c r="L202" s="29"/>
    </row>
    <row r="203" spans="1:26" ht="14.25" x14ac:dyDescent="0.2">
      <c r="A203" s="42"/>
      <c r="B203" s="43"/>
      <c r="C203" s="43" t="s">
        <v>1306</v>
      </c>
      <c r="D203" s="26" t="s">
        <v>1305</v>
      </c>
      <c r="E203" s="10">
        <f>Source!CA63</f>
        <v>75</v>
      </c>
      <c r="F203" s="50" t="str">
        <f>CONCATENATE(" )", Source!DM63, Source!FU63, "=", Source!FY63)</f>
        <v xml:space="preserve"> )*0,85=63,75</v>
      </c>
      <c r="G203" s="62"/>
      <c r="H203" s="27">
        <f>SUM(U196:U206)</f>
        <v>144.22</v>
      </c>
      <c r="I203" s="31"/>
      <c r="J203" s="25">
        <f>Source!AU63</f>
        <v>64</v>
      </c>
      <c r="K203" s="27">
        <f>SUM(V196:V206)</f>
        <v>887.5</v>
      </c>
      <c r="L203" s="29"/>
    </row>
    <row r="204" spans="1:26" ht="14.25" x14ac:dyDescent="0.2">
      <c r="A204" s="42"/>
      <c r="B204" s="43"/>
      <c r="C204" s="43" t="s">
        <v>1307</v>
      </c>
      <c r="D204" s="26" t="s">
        <v>1308</v>
      </c>
      <c r="E204" s="10">
        <f>Source!AQ63</f>
        <v>310.42</v>
      </c>
      <c r="F204" s="27"/>
      <c r="G204" s="28" t="str">
        <f>Source!DI63</f>
        <v>)*1,15)*1,2</v>
      </c>
      <c r="H204" s="27"/>
      <c r="I204" s="28"/>
      <c r="J204" s="28"/>
      <c r="K204" s="27"/>
      <c r="L204" s="38">
        <f>Source!U63</f>
        <v>25.702775999999997</v>
      </c>
    </row>
    <row r="205" spans="1:26" ht="42.75" x14ac:dyDescent="0.2">
      <c r="A205" s="42" t="str">
        <f>Source!E64</f>
        <v>17,1</v>
      </c>
      <c r="B205" s="43" t="str">
        <f>Source!F64</f>
        <v>06.2.05.03-0003</v>
      </c>
      <c r="C205" s="43" t="str">
        <f>Source!G64</f>
        <v>Гранит керамический многоцветный неполированный, размером 400х400х9 мм</v>
      </c>
      <c r="D205" s="26" t="str">
        <f>Source!H64</f>
        <v>м2</v>
      </c>
      <c r="E205" s="10">
        <f>Source!I64</f>
        <v>-6.12</v>
      </c>
      <c r="F205" s="27">
        <f>Source!AL64+Source!AM64+Source!AO64</f>
        <v>140.44999999999999</v>
      </c>
      <c r="G205" s="39" t="s">
        <v>3</v>
      </c>
      <c r="H205" s="27">
        <f>ROUND(Source!AC64*Source!I64, 2)+ROUND(Source!AD64*Source!I64, 2)+ROUND(Source!AF64*Source!I64, 2)</f>
        <v>-859.55</v>
      </c>
      <c r="I205" s="28"/>
      <c r="J205" s="28">
        <f>IF(Source!BC64&lt;&gt; 0, Source!BC64, 1)</f>
        <v>6.13</v>
      </c>
      <c r="K205" s="27">
        <f>Source!O64</f>
        <v>-5269.07</v>
      </c>
      <c r="L205" s="29"/>
      <c r="S205">
        <f>ROUND((Source!FX64/100)*((ROUND(Source!AF64*Source!I64, 2)+ROUND(Source!AE64*Source!I64, 2))), 2)</f>
        <v>0</v>
      </c>
      <c r="T205">
        <f>Source!X64</f>
        <v>0</v>
      </c>
      <c r="U205">
        <f>ROUND((Source!FY64/100)*((ROUND(Source!AF64*Source!I64, 2)+ROUND(Source!AE64*Source!I64, 2))), 2)</f>
        <v>0</v>
      </c>
      <c r="V205">
        <f>Source!Y64</f>
        <v>0</v>
      </c>
      <c r="W205">
        <f>IF(Source!BI64&lt;=1,H205, 0)</f>
        <v>-859.55</v>
      </c>
      <c r="X205">
        <f>IF(Source!BI64=2,H205, 0)</f>
        <v>0</v>
      </c>
      <c r="Y205">
        <f>IF(Source!BI64=3,H205, 0)</f>
        <v>0</v>
      </c>
      <c r="Z205">
        <f>IF(Source!BI64=4,H205, 0)</f>
        <v>0</v>
      </c>
    </row>
    <row r="206" spans="1:26" ht="28.5" x14ac:dyDescent="0.2">
      <c r="A206" s="44" t="str">
        <f>Source!E65</f>
        <v>17,2</v>
      </c>
      <c r="B206" s="45" t="str">
        <f>Source!F65</f>
        <v>06.2.05.03-0021</v>
      </c>
      <c r="C206" s="45" t="str">
        <f>Source!G65</f>
        <v>Плитка керамогранитная  размером 300х300 мм (согласно тех.заданию)</v>
      </c>
      <c r="D206" s="32" t="str">
        <f>Source!H65</f>
        <v>м2</v>
      </c>
      <c r="E206" s="33">
        <f>Source!I65</f>
        <v>6.12</v>
      </c>
      <c r="F206" s="34">
        <f>Source!AL65+Source!AM65+Source!AO65</f>
        <v>56.77</v>
      </c>
      <c r="G206" s="40" t="s">
        <v>3</v>
      </c>
      <c r="H206" s="34">
        <f>ROUND(Source!AC65*Source!I65, 2)+ROUND(Source!AD65*Source!I65, 2)+ROUND(Source!AF65*Source!I65, 2)</f>
        <v>347.43</v>
      </c>
      <c r="I206" s="35"/>
      <c r="J206" s="35">
        <f>IF(Source!BC65&lt;&gt; 0, Source!BC65, 1)</f>
        <v>6.13</v>
      </c>
      <c r="K206" s="34">
        <f>Source!O65</f>
        <v>2129.7600000000002</v>
      </c>
      <c r="L206" s="41"/>
      <c r="S206">
        <f>ROUND((Source!FX65/100)*((ROUND(Source!AF65*Source!I65, 2)+ROUND(Source!AE65*Source!I65, 2))), 2)</f>
        <v>0</v>
      </c>
      <c r="T206">
        <f>Source!X65</f>
        <v>0</v>
      </c>
      <c r="U206">
        <f>ROUND((Source!FY65/100)*((ROUND(Source!AF65*Source!I65, 2)+ROUND(Source!AE65*Source!I65, 2))), 2)</f>
        <v>0</v>
      </c>
      <c r="V206">
        <f>Source!Y65</f>
        <v>0</v>
      </c>
      <c r="W206">
        <f>IF(Source!BI65&lt;=1,H206, 0)</f>
        <v>347.43</v>
      </c>
      <c r="X206">
        <f>IF(Source!BI65=2,H206, 0)</f>
        <v>0</v>
      </c>
      <c r="Y206">
        <f>IF(Source!BI65=3,H206, 0)</f>
        <v>0</v>
      </c>
      <c r="Z206">
        <f>IF(Source!BI65=4,H206, 0)</f>
        <v>0</v>
      </c>
    </row>
    <row r="207" spans="1:26" ht="15" x14ac:dyDescent="0.25">
      <c r="G207" s="61">
        <f>H198+H199+H201+H202+H203+SUM(H205:H206)</f>
        <v>1239.7200000000003</v>
      </c>
      <c r="H207" s="61"/>
      <c r="J207" s="61">
        <f>K198+K199+K201+K202+K203+SUM(K205:K206)</f>
        <v>7607.0600000000013</v>
      </c>
      <c r="K207" s="61"/>
      <c r="L207" s="37">
        <f>Source!U63</f>
        <v>25.702775999999997</v>
      </c>
      <c r="O207" s="23">
        <f>G207</f>
        <v>1239.7200000000003</v>
      </c>
      <c r="P207" s="23">
        <f>J207</f>
        <v>7607.0600000000013</v>
      </c>
      <c r="Q207" s="23">
        <f>L207</f>
        <v>25.702775999999997</v>
      </c>
      <c r="W207">
        <f>IF(Source!BI63&lt;=1,H198+H199+H201+H202+H203, 0)</f>
        <v>1751.8400000000001</v>
      </c>
      <c r="X207">
        <f>IF(Source!BI63=2,H198+H199+H201+H202+H203, 0)</f>
        <v>0</v>
      </c>
      <c r="Y207">
        <f>IF(Source!BI63=3,H198+H199+H201+H202+H203, 0)</f>
        <v>0</v>
      </c>
      <c r="Z207">
        <f>IF(Source!BI63=4,H198+H199+H201+H202+H203, 0)</f>
        <v>0</v>
      </c>
    </row>
    <row r="208" spans="1:26" ht="57" x14ac:dyDescent="0.2">
      <c r="A208" s="42" t="str">
        <f>Source!E66</f>
        <v>18</v>
      </c>
      <c r="B208" s="43" t="str">
        <f>Source!F66</f>
        <v>15-01-050-01</v>
      </c>
      <c r="C208" s="43" t="str">
        <f>Source!G66</f>
        <v>Облицовка стен декоративным бумажно-слоистым пластиком или листами из синтетических материалов по деревянной обрешетке</v>
      </c>
      <c r="D208" s="26" t="str">
        <f>Source!H66</f>
        <v>100 м2</v>
      </c>
      <c r="E208" s="10">
        <f>Source!I66</f>
        <v>2.3250000000000002</v>
      </c>
      <c r="F208" s="27">
        <f>Source!AL66+Source!AM66+Source!AO66</f>
        <v>571.61</v>
      </c>
      <c r="G208" s="28"/>
      <c r="H208" s="27"/>
      <c r="I208" s="28" t="str">
        <f>Source!BO66</f>
        <v/>
      </c>
      <c r="J208" s="28"/>
      <c r="K208" s="27"/>
      <c r="L208" s="29"/>
      <c r="S208">
        <f>ROUND((Source!FX66/100)*((ROUND(Source!AF66*Source!I66, 2)+ROUND(Source!AE66*Source!I66, 2))), 2)</f>
        <v>1429.87</v>
      </c>
      <c r="T208">
        <f>Source!X66</f>
        <v>8811.4599999999991</v>
      </c>
      <c r="U208">
        <f>ROUND((Source!FY66/100)*((ROUND(Source!AF66*Source!I66, 2)+ROUND(Source!AE66*Source!I66, 2))), 2)</f>
        <v>707.37</v>
      </c>
      <c r="V208">
        <f>Source!Y66</f>
        <v>4359.3500000000004</v>
      </c>
    </row>
    <row r="209" spans="1:26" x14ac:dyDescent="0.2">
      <c r="C209" s="22" t="str">
        <f>"Объем: "&amp;Source!I66&amp;"=232,5/"&amp;"100"</f>
        <v>Объем: 2,325=232,5/100</v>
      </c>
    </row>
    <row r="210" spans="1:26" ht="14.25" x14ac:dyDescent="0.2">
      <c r="A210" s="42"/>
      <c r="B210" s="43"/>
      <c r="C210" s="43" t="s">
        <v>1302</v>
      </c>
      <c r="D210" s="26"/>
      <c r="E210" s="10"/>
      <c r="F210" s="27">
        <f>Source!AO66</f>
        <v>460.38</v>
      </c>
      <c r="G210" s="28" t="str">
        <f>Source!DG66</f>
        <v>)*1,15)*1,2</v>
      </c>
      <c r="H210" s="27">
        <f>ROUND(Source!AF66*Source!I66, 2)</f>
        <v>1477.12</v>
      </c>
      <c r="I210" s="28"/>
      <c r="J210" s="28">
        <f>IF(Source!BA66&lt;&gt; 0, Source!BA66, 1)</f>
        <v>6.13</v>
      </c>
      <c r="K210" s="27">
        <f>Source!S66</f>
        <v>9054.74</v>
      </c>
      <c r="L210" s="29"/>
      <c r="R210">
        <f>H210</f>
        <v>1477.12</v>
      </c>
    </row>
    <row r="211" spans="1:26" ht="14.25" x14ac:dyDescent="0.2">
      <c r="A211" s="42"/>
      <c r="B211" s="43"/>
      <c r="C211" s="43" t="s">
        <v>334</v>
      </c>
      <c r="D211" s="26"/>
      <c r="E211" s="10"/>
      <c r="F211" s="27">
        <f>Source!AM66</f>
        <v>53.38</v>
      </c>
      <c r="G211" s="28" t="str">
        <f>Source!DE66</f>
        <v>)*1,25)*1,2</v>
      </c>
      <c r="H211" s="27">
        <f>ROUND(Source!AD66*Source!I66, 2)</f>
        <v>186.19</v>
      </c>
      <c r="I211" s="28"/>
      <c r="J211" s="28">
        <f>IF(Source!BB66&lt;&gt; 0, Source!BB66, 1)</f>
        <v>6.13</v>
      </c>
      <c r="K211" s="27">
        <f>Source!Q66</f>
        <v>1141.32</v>
      </c>
      <c r="L211" s="29"/>
    </row>
    <row r="212" spans="1:26" ht="14.25" x14ac:dyDescent="0.2">
      <c r="A212" s="42"/>
      <c r="B212" s="43"/>
      <c r="C212" s="43" t="s">
        <v>1303</v>
      </c>
      <c r="D212" s="26"/>
      <c r="E212" s="10"/>
      <c r="F212" s="27">
        <f>Source!AN66</f>
        <v>10.31</v>
      </c>
      <c r="G212" s="28" t="str">
        <f>Source!DF66</f>
        <v>)*1,25)*1,2</v>
      </c>
      <c r="H212" s="30">
        <f>ROUND(Source!AE66*Source!I66, 2)</f>
        <v>35.97</v>
      </c>
      <c r="I212" s="28"/>
      <c r="J212" s="28">
        <f>IF(Source!BS66&lt;&gt; 0, Source!BS66, 1)</f>
        <v>6.13</v>
      </c>
      <c r="K212" s="30">
        <f>Source!R66</f>
        <v>220.48</v>
      </c>
      <c r="L212" s="29"/>
      <c r="R212">
        <f>H212</f>
        <v>35.97</v>
      </c>
    </row>
    <row r="213" spans="1:26" ht="14.25" x14ac:dyDescent="0.2">
      <c r="A213" s="42"/>
      <c r="B213" s="43"/>
      <c r="C213" s="43" t="s">
        <v>1309</v>
      </c>
      <c r="D213" s="26"/>
      <c r="E213" s="10"/>
      <c r="F213" s="27">
        <f>Source!AL66</f>
        <v>57.85</v>
      </c>
      <c r="G213" s="28" t="str">
        <f>Source!DD66</f>
        <v/>
      </c>
      <c r="H213" s="27">
        <f>ROUND(Source!AC66*Source!I66, 2)</f>
        <v>134.5</v>
      </c>
      <c r="I213" s="28"/>
      <c r="J213" s="28">
        <f>IF(Source!BC66&lt;&gt; 0, Source!BC66, 1)</f>
        <v>6.13</v>
      </c>
      <c r="K213" s="27">
        <f>Source!P66</f>
        <v>824.49</v>
      </c>
      <c r="L213" s="29"/>
    </row>
    <row r="214" spans="1:26" ht="14.25" x14ac:dyDescent="0.2">
      <c r="A214" s="42"/>
      <c r="B214" s="43"/>
      <c r="C214" s="43" t="s">
        <v>1304</v>
      </c>
      <c r="D214" s="26" t="s">
        <v>1305</v>
      </c>
      <c r="E214" s="10">
        <f>Source!BZ66</f>
        <v>105</v>
      </c>
      <c r="F214" s="50" t="str">
        <f>CONCATENATE(" )", Source!DL66, Source!FT66, "=", Source!FX66)</f>
        <v xml:space="preserve"> )*0,9=94,5</v>
      </c>
      <c r="G214" s="62"/>
      <c r="H214" s="27">
        <f>SUM(S208:S226)</f>
        <v>1429.87</v>
      </c>
      <c r="I214" s="31"/>
      <c r="J214" s="25">
        <f>Source!AT66</f>
        <v>95</v>
      </c>
      <c r="K214" s="27">
        <f>SUM(T208:T226)</f>
        <v>8811.4599999999991</v>
      </c>
      <c r="L214" s="29"/>
    </row>
    <row r="215" spans="1:26" ht="14.25" x14ac:dyDescent="0.2">
      <c r="A215" s="42"/>
      <c r="B215" s="43"/>
      <c r="C215" s="43" t="s">
        <v>1306</v>
      </c>
      <c r="D215" s="26" t="s">
        <v>1305</v>
      </c>
      <c r="E215" s="10">
        <f>Source!CA66</f>
        <v>55</v>
      </c>
      <c r="F215" s="50" t="str">
        <f>CONCATENATE(" )", Source!DM66, Source!FU66, "=", Source!FY66)</f>
        <v xml:space="preserve"> )*0,85=46,75</v>
      </c>
      <c r="G215" s="62"/>
      <c r="H215" s="27">
        <f>SUM(U208:U226)</f>
        <v>707.37</v>
      </c>
      <c r="I215" s="31"/>
      <c r="J215" s="25">
        <f>Source!AU66</f>
        <v>47</v>
      </c>
      <c r="K215" s="27">
        <f>SUM(V208:V226)</f>
        <v>4359.3500000000004</v>
      </c>
      <c r="L215" s="29"/>
    </row>
    <row r="216" spans="1:26" ht="14.25" x14ac:dyDescent="0.2">
      <c r="A216" s="42"/>
      <c r="B216" s="43"/>
      <c r="C216" s="43" t="s">
        <v>1307</v>
      </c>
      <c r="D216" s="26" t="s">
        <v>1308</v>
      </c>
      <c r="E216" s="10">
        <f>Source!AQ66</f>
        <v>50.15</v>
      </c>
      <c r="F216" s="27"/>
      <c r="G216" s="28" t="str">
        <f>Source!DI66</f>
        <v>)*1,15)*1,2</v>
      </c>
      <c r="H216" s="27"/>
      <c r="I216" s="28"/>
      <c r="J216" s="28"/>
      <c r="K216" s="27"/>
      <c r="L216" s="38">
        <f>Source!U66</f>
        <v>160.90627499999999</v>
      </c>
    </row>
    <row r="217" spans="1:26" ht="42.75" x14ac:dyDescent="0.2">
      <c r="A217" s="42" t="str">
        <f>Source!E67</f>
        <v>18,1</v>
      </c>
      <c r="B217" s="43" t="str">
        <f>Source!F67</f>
        <v>11.3.03.04-0001</v>
      </c>
      <c r="C217" s="43" t="str">
        <f>Source!G67</f>
        <v>Панели декоративные пластиковые «PROFIPLAST», размером 2700х250х8 мм</v>
      </c>
      <c r="D217" s="26" t="str">
        <f>Source!H67</f>
        <v>м2</v>
      </c>
      <c r="E217" s="10">
        <f>Source!I67</f>
        <v>235.755</v>
      </c>
      <c r="F217" s="27">
        <f>Source!AL67+Source!AM67+Source!AO67</f>
        <v>62.08</v>
      </c>
      <c r="G217" s="39" t="s">
        <v>3</v>
      </c>
      <c r="H217" s="27">
        <f>ROUND(Source!AC67*Source!I67, 2)+ROUND(Source!AD67*Source!I67, 2)+ROUND(Source!AF67*Source!I67, 2)</f>
        <v>14635.67</v>
      </c>
      <c r="I217" s="28"/>
      <c r="J217" s="28">
        <f>IF(Source!BC67&lt;&gt; 0, Source!BC67, 1)</f>
        <v>6.13</v>
      </c>
      <c r="K217" s="27">
        <f>Source!O67</f>
        <v>89716.66</v>
      </c>
      <c r="L217" s="29"/>
      <c r="S217">
        <f>ROUND((Source!FX67/100)*((ROUND(Source!AF67*Source!I67, 2)+ROUND(Source!AE67*Source!I67, 2))), 2)</f>
        <v>0</v>
      </c>
      <c r="T217">
        <f>Source!X67</f>
        <v>0</v>
      </c>
      <c r="U217">
        <f>ROUND((Source!FY67/100)*((ROUND(Source!AF67*Source!I67, 2)+ROUND(Source!AE67*Source!I67, 2))), 2)</f>
        <v>0</v>
      </c>
      <c r="V217">
        <f>Source!Y67</f>
        <v>0</v>
      </c>
      <c r="W217">
        <f>IF(Source!BI67&lt;=1,H217, 0)</f>
        <v>14635.67</v>
      </c>
      <c r="X217">
        <f>IF(Source!BI67=2,H217, 0)</f>
        <v>0</v>
      </c>
      <c r="Y217">
        <f>IF(Source!BI67=3,H217, 0)</f>
        <v>0</v>
      </c>
      <c r="Z217">
        <f>IF(Source!BI67=4,H217, 0)</f>
        <v>0</v>
      </c>
    </row>
    <row r="218" spans="1:26" ht="14.25" x14ac:dyDescent="0.2">
      <c r="A218" s="42" t="str">
        <f>Source!E68</f>
        <v>18,2</v>
      </c>
      <c r="B218" s="43" t="str">
        <f>Source!F68</f>
        <v>11.2.04.05-0001</v>
      </c>
      <c r="C218" s="43" t="str">
        <f>Source!G68</f>
        <v>Рейки деревянные 8х18 мм</v>
      </c>
      <c r="D218" s="26" t="str">
        <f>Source!H68</f>
        <v>м3</v>
      </c>
      <c r="E218" s="10">
        <f>Source!I68</f>
        <v>6.9750000000000006E-2</v>
      </c>
      <c r="F218" s="27">
        <f>Source!AL68+Source!AM68+Source!AO68</f>
        <v>2500</v>
      </c>
      <c r="G218" s="39" t="s">
        <v>3</v>
      </c>
      <c r="H218" s="27">
        <f>ROUND(Source!AC68*Source!I68, 2)+ROUND(Source!AD68*Source!I68, 2)+ROUND(Source!AF68*Source!I68, 2)</f>
        <v>174.38</v>
      </c>
      <c r="I218" s="28"/>
      <c r="J218" s="28">
        <f>IF(Source!BC68&lt;&gt; 0, Source!BC68, 1)</f>
        <v>6.13</v>
      </c>
      <c r="K218" s="27">
        <f>Source!O68</f>
        <v>1068.92</v>
      </c>
      <c r="L218" s="29"/>
      <c r="S218">
        <f>ROUND((Source!FX68/100)*((ROUND(Source!AF68*Source!I68, 2)+ROUND(Source!AE68*Source!I68, 2))), 2)</f>
        <v>0</v>
      </c>
      <c r="T218">
        <f>Source!X68</f>
        <v>0</v>
      </c>
      <c r="U218">
        <f>ROUND((Source!FY68/100)*((ROUND(Source!AF68*Source!I68, 2)+ROUND(Source!AE68*Source!I68, 2))), 2)</f>
        <v>0</v>
      </c>
      <c r="V218">
        <f>Source!Y68</f>
        <v>0</v>
      </c>
      <c r="W218">
        <f>IF(Source!BI68&lt;=1,H218, 0)</f>
        <v>174.38</v>
      </c>
      <c r="X218">
        <f>IF(Source!BI68=2,H218, 0)</f>
        <v>0</v>
      </c>
      <c r="Y218">
        <f>IF(Source!BI68=3,H218, 0)</f>
        <v>0</v>
      </c>
      <c r="Z218">
        <f>IF(Source!BI68=4,H218, 0)</f>
        <v>0</v>
      </c>
    </row>
    <row r="219" spans="1:26" ht="28.5" x14ac:dyDescent="0.2">
      <c r="A219" s="42" t="str">
        <f>Source!E69</f>
        <v>18,3</v>
      </c>
      <c r="B219" s="43" t="str">
        <f>Source!F69</f>
        <v>11.3.03.11-0001</v>
      </c>
      <c r="C219" s="43" t="str">
        <f>Source!G69</f>
        <v>Раскладки поливинилхлоридные вертикальные</v>
      </c>
      <c r="D219" s="26" t="str">
        <f>Source!H69</f>
        <v>м</v>
      </c>
      <c r="E219" s="10">
        <f>Source!I69</f>
        <v>93.93</v>
      </c>
      <c r="F219" s="27">
        <f>Source!AL69+Source!AM69+Source!AO69</f>
        <v>5.3</v>
      </c>
      <c r="G219" s="39" t="s">
        <v>3</v>
      </c>
      <c r="H219" s="27">
        <f>ROUND(Source!AC69*Source!I69, 2)+ROUND(Source!AD69*Source!I69, 2)+ROUND(Source!AF69*Source!I69, 2)</f>
        <v>497.83</v>
      </c>
      <c r="I219" s="28"/>
      <c r="J219" s="28">
        <f>IF(Source!BC69&lt;&gt; 0, Source!BC69, 1)</f>
        <v>6.13</v>
      </c>
      <c r="K219" s="27">
        <f>Source!O69</f>
        <v>3051.69</v>
      </c>
      <c r="L219" s="29"/>
      <c r="S219">
        <f>ROUND((Source!FX69/100)*((ROUND(Source!AF69*Source!I69, 2)+ROUND(Source!AE69*Source!I69, 2))), 2)</f>
        <v>0</v>
      </c>
      <c r="T219">
        <f>Source!X69</f>
        <v>0</v>
      </c>
      <c r="U219">
        <f>ROUND((Source!FY69/100)*((ROUND(Source!AF69*Source!I69, 2)+ROUND(Source!AE69*Source!I69, 2))), 2)</f>
        <v>0</v>
      </c>
      <c r="V219">
        <f>Source!Y69</f>
        <v>0</v>
      </c>
      <c r="W219">
        <f>IF(Source!BI69&lt;=1,H219, 0)</f>
        <v>497.83</v>
      </c>
      <c r="X219">
        <f>IF(Source!BI69=2,H219, 0)</f>
        <v>0</v>
      </c>
      <c r="Y219">
        <f>IF(Source!BI69=3,H219, 0)</f>
        <v>0</v>
      </c>
      <c r="Z219">
        <f>IF(Source!BI69=4,H219, 0)</f>
        <v>0</v>
      </c>
    </row>
    <row r="220" spans="1:26" ht="28.5" x14ac:dyDescent="0.2">
      <c r="A220" s="42" t="str">
        <f>Source!E70</f>
        <v>18,4</v>
      </c>
      <c r="B220" s="43" t="str">
        <f>Source!F70</f>
        <v>11.3.03.11-0002</v>
      </c>
      <c r="C220" s="43" t="str">
        <f>Source!G70</f>
        <v>Раскладки поливинилхлоридные горизонтальные</v>
      </c>
      <c r="D220" s="26" t="str">
        <f>Source!H70</f>
        <v>м</v>
      </c>
      <c r="E220" s="10">
        <f>Source!I70</f>
        <v>205.08799999999999</v>
      </c>
      <c r="F220" s="27">
        <f>Source!AL70+Source!AM70+Source!AO70</f>
        <v>5.3</v>
      </c>
      <c r="G220" s="39" t="s">
        <v>3</v>
      </c>
      <c r="H220" s="27">
        <f>ROUND(Source!AC70*Source!I70, 2)+ROUND(Source!AD70*Source!I70, 2)+ROUND(Source!AF70*Source!I70, 2)</f>
        <v>1086.97</v>
      </c>
      <c r="I220" s="28"/>
      <c r="J220" s="28">
        <f>IF(Source!BC70&lt;&gt; 0, Source!BC70, 1)</f>
        <v>6.13</v>
      </c>
      <c r="K220" s="27">
        <f>Source!O70</f>
        <v>6663.1</v>
      </c>
      <c r="L220" s="29"/>
      <c r="S220">
        <f>ROUND((Source!FX70/100)*((ROUND(Source!AF70*Source!I70, 2)+ROUND(Source!AE70*Source!I70, 2))), 2)</f>
        <v>0</v>
      </c>
      <c r="T220">
        <f>Source!X70</f>
        <v>0</v>
      </c>
      <c r="U220">
        <f>ROUND((Source!FY70/100)*((ROUND(Source!AF70*Source!I70, 2)+ROUND(Source!AE70*Source!I70, 2))), 2)</f>
        <v>0</v>
      </c>
      <c r="V220">
        <f>Source!Y70</f>
        <v>0</v>
      </c>
      <c r="W220">
        <f>IF(Source!BI70&lt;=1,H220, 0)</f>
        <v>1086.97</v>
      </c>
      <c r="X220">
        <f>IF(Source!BI70=2,H220, 0)</f>
        <v>0</v>
      </c>
      <c r="Y220">
        <f>IF(Source!BI70=3,H220, 0)</f>
        <v>0</v>
      </c>
      <c r="Z220">
        <f>IF(Source!BI70=4,H220, 0)</f>
        <v>0</v>
      </c>
    </row>
    <row r="221" spans="1:26" ht="28.5" x14ac:dyDescent="0.2">
      <c r="A221" s="42" t="str">
        <f>Source!E71</f>
        <v>18,5</v>
      </c>
      <c r="B221" s="43" t="str">
        <f>Source!F71</f>
        <v>14.1.02.04-0102</v>
      </c>
      <c r="C221" s="43" t="str">
        <f>Source!G71</f>
        <v>Клей Forbo 522, для укладки ПВХ-покрытий</v>
      </c>
      <c r="D221" s="26" t="str">
        <f>Source!H71</f>
        <v>кг</v>
      </c>
      <c r="E221" s="10">
        <f>Source!I71</f>
        <v>0.83699999999999986</v>
      </c>
      <c r="F221" s="27">
        <f>Source!AL71+Source!AM71+Source!AO71</f>
        <v>25.56</v>
      </c>
      <c r="G221" s="39" t="s">
        <v>3</v>
      </c>
      <c r="H221" s="27">
        <f>ROUND(Source!AC71*Source!I71, 2)+ROUND(Source!AD71*Source!I71, 2)+ROUND(Source!AF71*Source!I71, 2)</f>
        <v>21.39</v>
      </c>
      <c r="I221" s="28"/>
      <c r="J221" s="28">
        <f>IF(Source!BC71&lt;&gt; 0, Source!BC71, 1)</f>
        <v>6.13</v>
      </c>
      <c r="K221" s="27">
        <f>Source!O71</f>
        <v>131.13999999999999</v>
      </c>
      <c r="L221" s="29"/>
      <c r="S221">
        <f>ROUND((Source!FX71/100)*((ROUND(Source!AF71*Source!I71, 2)+ROUND(Source!AE71*Source!I71, 2))), 2)</f>
        <v>0</v>
      </c>
      <c r="T221">
        <f>Source!X71</f>
        <v>0</v>
      </c>
      <c r="U221">
        <f>ROUND((Source!FY71/100)*((ROUND(Source!AF71*Source!I71, 2)+ROUND(Source!AE71*Source!I71, 2))), 2)</f>
        <v>0</v>
      </c>
      <c r="V221">
        <f>Source!Y71</f>
        <v>0</v>
      </c>
      <c r="W221">
        <f>IF(Source!BI71&lt;=1,H221, 0)</f>
        <v>21.39</v>
      </c>
      <c r="X221">
        <f>IF(Source!BI71=2,H221, 0)</f>
        <v>0</v>
      </c>
      <c r="Y221">
        <f>IF(Source!BI71=3,H221, 0)</f>
        <v>0</v>
      </c>
      <c r="Z221">
        <f>IF(Source!BI71=4,H221, 0)</f>
        <v>0</v>
      </c>
    </row>
    <row r="222" spans="1:26" ht="14.25" x14ac:dyDescent="0.2">
      <c r="A222" s="42" t="str">
        <f>Source!E72</f>
        <v>18,6</v>
      </c>
      <c r="B222" s="43" t="str">
        <f>Source!F72</f>
        <v>01.6.01.11</v>
      </c>
      <c r="C222" s="43" t="str">
        <f>Source!G72</f>
        <v>Листы облицовочные декоративные</v>
      </c>
      <c r="D222" s="26" t="str">
        <f>Source!H72</f>
        <v>м2</v>
      </c>
      <c r="E222" s="10">
        <f>Source!I72</f>
        <v>235.755</v>
      </c>
      <c r="F222" s="27">
        <f>Source!AL72+Source!AM72+Source!AO72</f>
        <v>0</v>
      </c>
      <c r="G222" s="39" t="s">
        <v>3</v>
      </c>
      <c r="H222" s="27">
        <f>ROUND(Source!AC72*Source!I72, 2)+ROUND(Source!AD72*Source!I72, 2)+ROUND(Source!AF72*Source!I72, 2)</f>
        <v>0</v>
      </c>
      <c r="I222" s="28"/>
      <c r="J222" s="28">
        <f>IF(Source!BC72&lt;&gt; 0, Source!BC72, 1)</f>
        <v>6.13</v>
      </c>
      <c r="K222" s="27">
        <f>Source!O72</f>
        <v>0</v>
      </c>
      <c r="L222" s="29"/>
      <c r="S222">
        <f>ROUND((Source!FX72/100)*((ROUND(Source!AF72*Source!I72, 2)+ROUND(Source!AE72*Source!I72, 2))), 2)</f>
        <v>0</v>
      </c>
      <c r="T222">
        <f>Source!X72</f>
        <v>0</v>
      </c>
      <c r="U222">
        <f>ROUND((Source!FY72/100)*((ROUND(Source!AF72*Source!I72, 2)+ROUND(Source!AE72*Source!I72, 2))), 2)</f>
        <v>0</v>
      </c>
      <c r="V222">
        <f>Source!Y72</f>
        <v>0</v>
      </c>
      <c r="W222">
        <f>IF(Source!BI72&lt;=1,H222, 0)</f>
        <v>0</v>
      </c>
      <c r="X222">
        <f>IF(Source!BI72=2,H222, 0)</f>
        <v>0</v>
      </c>
      <c r="Y222">
        <f>IF(Source!BI72=3,H222, 0)</f>
        <v>0</v>
      </c>
      <c r="Z222">
        <f>IF(Source!BI72=4,H222, 0)</f>
        <v>0</v>
      </c>
    </row>
    <row r="223" spans="1:26" ht="14.25" x14ac:dyDescent="0.2">
      <c r="A223" s="42" t="str">
        <f>Source!E73</f>
        <v>18,7</v>
      </c>
      <c r="B223" s="43" t="str">
        <f>Source!F73</f>
        <v>11.2.04.05</v>
      </c>
      <c r="C223" s="43" t="str">
        <f>Source!G73</f>
        <v>Рейки деревянные</v>
      </c>
      <c r="D223" s="26" t="str">
        <f>Source!H73</f>
        <v>м3</v>
      </c>
      <c r="E223" s="10">
        <f>Source!I73</f>
        <v>6.9750000000000006E-2</v>
      </c>
      <c r="F223" s="27">
        <f>Source!AL73+Source!AM73+Source!AO73</f>
        <v>0</v>
      </c>
      <c r="G223" s="39" t="s">
        <v>3</v>
      </c>
      <c r="H223" s="27">
        <f>ROUND(Source!AC73*Source!I73, 2)+ROUND(Source!AD73*Source!I73, 2)+ROUND(Source!AF73*Source!I73, 2)</f>
        <v>0</v>
      </c>
      <c r="I223" s="28"/>
      <c r="J223" s="28">
        <f>IF(Source!BC73&lt;&gt; 0, Source!BC73, 1)</f>
        <v>6.13</v>
      </c>
      <c r="K223" s="27">
        <f>Source!O73</f>
        <v>0</v>
      </c>
      <c r="L223" s="29"/>
      <c r="S223">
        <f>ROUND((Source!FX73/100)*((ROUND(Source!AF73*Source!I73, 2)+ROUND(Source!AE73*Source!I73, 2))), 2)</f>
        <v>0</v>
      </c>
      <c r="T223">
        <f>Source!X73</f>
        <v>0</v>
      </c>
      <c r="U223">
        <f>ROUND((Source!FY73/100)*((ROUND(Source!AF73*Source!I73, 2)+ROUND(Source!AE73*Source!I73, 2))), 2)</f>
        <v>0</v>
      </c>
      <c r="V223">
        <f>Source!Y73</f>
        <v>0</v>
      </c>
      <c r="W223">
        <f>IF(Source!BI73&lt;=1,H223, 0)</f>
        <v>0</v>
      </c>
      <c r="X223">
        <f>IF(Source!BI73=2,H223, 0)</f>
        <v>0</v>
      </c>
      <c r="Y223">
        <f>IF(Source!BI73=3,H223, 0)</f>
        <v>0</v>
      </c>
      <c r="Z223">
        <f>IF(Source!BI73=4,H223, 0)</f>
        <v>0</v>
      </c>
    </row>
    <row r="224" spans="1:26" ht="28.5" x14ac:dyDescent="0.2">
      <c r="A224" s="42" t="str">
        <f>Source!E74</f>
        <v>18,8</v>
      </c>
      <c r="B224" s="43" t="str">
        <f>Source!F74</f>
        <v>11.3.03.11</v>
      </c>
      <c r="C224" s="43" t="str">
        <f>Source!G74</f>
        <v>Раскладки поливинилхлоридные горизонтальные</v>
      </c>
      <c r="D224" s="26" t="str">
        <f>Source!H74</f>
        <v>м</v>
      </c>
      <c r="E224" s="10">
        <f>Source!I74</f>
        <v>205.08799999999999</v>
      </c>
      <c r="F224" s="27">
        <f>Source!AL74+Source!AM74+Source!AO74</f>
        <v>0</v>
      </c>
      <c r="G224" s="39" t="s">
        <v>3</v>
      </c>
      <c r="H224" s="27">
        <f>ROUND(Source!AC74*Source!I74, 2)+ROUND(Source!AD74*Source!I74, 2)+ROUND(Source!AF74*Source!I74, 2)</f>
        <v>0</v>
      </c>
      <c r="I224" s="28"/>
      <c r="J224" s="28">
        <f>IF(Source!BC74&lt;&gt; 0, Source!BC74, 1)</f>
        <v>6.13</v>
      </c>
      <c r="K224" s="27">
        <f>Source!O74</f>
        <v>0</v>
      </c>
      <c r="L224" s="29"/>
      <c r="S224">
        <f>ROUND((Source!FX74/100)*((ROUND(Source!AF74*Source!I74, 2)+ROUND(Source!AE74*Source!I74, 2))), 2)</f>
        <v>0</v>
      </c>
      <c r="T224">
        <f>Source!X74</f>
        <v>0</v>
      </c>
      <c r="U224">
        <f>ROUND((Source!FY74/100)*((ROUND(Source!AF74*Source!I74, 2)+ROUND(Source!AE74*Source!I74, 2))), 2)</f>
        <v>0</v>
      </c>
      <c r="V224">
        <f>Source!Y74</f>
        <v>0</v>
      </c>
      <c r="W224">
        <f>IF(Source!BI74&lt;=1,H224, 0)</f>
        <v>0</v>
      </c>
      <c r="X224">
        <f>IF(Source!BI74=2,H224, 0)</f>
        <v>0</v>
      </c>
      <c r="Y224">
        <f>IF(Source!BI74=3,H224, 0)</f>
        <v>0</v>
      </c>
      <c r="Z224">
        <f>IF(Source!BI74=4,H224, 0)</f>
        <v>0</v>
      </c>
    </row>
    <row r="225" spans="1:26" ht="28.5" x14ac:dyDescent="0.2">
      <c r="A225" s="42" t="str">
        <f>Source!E75</f>
        <v>18,9</v>
      </c>
      <c r="B225" s="43" t="str">
        <f>Source!F75</f>
        <v>11.3.03.11</v>
      </c>
      <c r="C225" s="43" t="str">
        <f>Source!G75</f>
        <v>Раскладки поливинилхлоридные вертикальные</v>
      </c>
      <c r="D225" s="26" t="str">
        <f>Source!H75</f>
        <v>м</v>
      </c>
      <c r="E225" s="10">
        <f>Source!I75</f>
        <v>93.93</v>
      </c>
      <c r="F225" s="27">
        <f>Source!AL75+Source!AM75+Source!AO75</f>
        <v>0</v>
      </c>
      <c r="G225" s="39" t="s">
        <v>3</v>
      </c>
      <c r="H225" s="27">
        <f>ROUND(Source!AC75*Source!I75, 2)+ROUND(Source!AD75*Source!I75, 2)+ROUND(Source!AF75*Source!I75, 2)</f>
        <v>0</v>
      </c>
      <c r="I225" s="28"/>
      <c r="J225" s="28">
        <f>IF(Source!BC75&lt;&gt; 0, Source!BC75, 1)</f>
        <v>6.13</v>
      </c>
      <c r="K225" s="27">
        <f>Source!O75</f>
        <v>0</v>
      </c>
      <c r="L225" s="29"/>
      <c r="S225">
        <f>ROUND((Source!FX75/100)*((ROUND(Source!AF75*Source!I75, 2)+ROUND(Source!AE75*Source!I75, 2))), 2)</f>
        <v>0</v>
      </c>
      <c r="T225">
        <f>Source!X75</f>
        <v>0</v>
      </c>
      <c r="U225">
        <f>ROUND((Source!FY75/100)*((ROUND(Source!AF75*Source!I75, 2)+ROUND(Source!AE75*Source!I75, 2))), 2)</f>
        <v>0</v>
      </c>
      <c r="V225">
        <f>Source!Y75</f>
        <v>0</v>
      </c>
      <c r="W225">
        <f>IF(Source!BI75&lt;=1,H225, 0)</f>
        <v>0</v>
      </c>
      <c r="X225">
        <f>IF(Source!BI75=2,H225, 0)</f>
        <v>0</v>
      </c>
      <c r="Y225">
        <f>IF(Source!BI75=3,H225, 0)</f>
        <v>0</v>
      </c>
      <c r="Z225">
        <f>IF(Source!BI75=4,H225, 0)</f>
        <v>0</v>
      </c>
    </row>
    <row r="226" spans="1:26" ht="14.25" x14ac:dyDescent="0.2">
      <c r="A226" s="44" t="str">
        <f>Source!E76</f>
        <v>18,10</v>
      </c>
      <c r="B226" s="45" t="str">
        <f>Source!F76</f>
        <v>14.1.06.05</v>
      </c>
      <c r="C226" s="45" t="str">
        <f>Source!G76</f>
        <v>Клей</v>
      </c>
      <c r="D226" s="32" t="str">
        <f>Source!H76</f>
        <v>кг</v>
      </c>
      <c r="E226" s="33">
        <f>Source!I76</f>
        <v>0.83699999999999986</v>
      </c>
      <c r="F226" s="34">
        <f>Source!AL76+Source!AM76+Source!AO76</f>
        <v>0</v>
      </c>
      <c r="G226" s="40" t="s">
        <v>3</v>
      </c>
      <c r="H226" s="34">
        <f>ROUND(Source!AC76*Source!I76, 2)+ROUND(Source!AD76*Source!I76, 2)+ROUND(Source!AF76*Source!I76, 2)</f>
        <v>0</v>
      </c>
      <c r="I226" s="35"/>
      <c r="J226" s="35">
        <f>IF(Source!BC76&lt;&gt; 0, Source!BC76, 1)</f>
        <v>6.13</v>
      </c>
      <c r="K226" s="34">
        <f>Source!O76</f>
        <v>0</v>
      </c>
      <c r="L226" s="41"/>
      <c r="S226">
        <f>ROUND((Source!FX76/100)*((ROUND(Source!AF76*Source!I76, 2)+ROUND(Source!AE76*Source!I76, 2))), 2)</f>
        <v>0</v>
      </c>
      <c r="T226">
        <f>Source!X76</f>
        <v>0</v>
      </c>
      <c r="U226">
        <f>ROUND((Source!FY76/100)*((ROUND(Source!AF76*Source!I76, 2)+ROUND(Source!AE76*Source!I76, 2))), 2)</f>
        <v>0</v>
      </c>
      <c r="V226">
        <f>Source!Y76</f>
        <v>0</v>
      </c>
      <c r="W226">
        <f>IF(Source!BI76&lt;=1,H226, 0)</f>
        <v>0</v>
      </c>
      <c r="X226">
        <f>IF(Source!BI76=2,H226, 0)</f>
        <v>0</v>
      </c>
      <c r="Y226">
        <f>IF(Source!BI76=3,H226, 0)</f>
        <v>0</v>
      </c>
      <c r="Z226">
        <f>IF(Source!BI76=4,H226, 0)</f>
        <v>0</v>
      </c>
    </row>
    <row r="227" spans="1:26" ht="15" x14ac:dyDescent="0.25">
      <c r="G227" s="61">
        <f>H210+H211+H213+H214+H215+SUM(H217:H226)</f>
        <v>20351.289999999997</v>
      </c>
      <c r="H227" s="61"/>
      <c r="J227" s="61">
        <f>K210+K211+K213+K214+K215+SUM(K217:K226)</f>
        <v>124822.87000000001</v>
      </c>
      <c r="K227" s="61"/>
      <c r="L227" s="37">
        <f>Source!U66</f>
        <v>160.90627499999999</v>
      </c>
      <c r="O227" s="23">
        <f>G227</f>
        <v>20351.289999999997</v>
      </c>
      <c r="P227" s="23">
        <f>J227</f>
        <v>124822.87000000001</v>
      </c>
      <c r="Q227" s="23">
        <f>L227</f>
        <v>160.90627499999999</v>
      </c>
      <c r="W227">
        <f>IF(Source!BI66&lt;=1,H210+H211+H213+H214+H215, 0)</f>
        <v>3935.0499999999997</v>
      </c>
      <c r="X227">
        <f>IF(Source!BI66=2,H210+H211+H213+H214+H215, 0)</f>
        <v>0</v>
      </c>
      <c r="Y227">
        <f>IF(Source!BI66=3,H210+H211+H213+H214+H215, 0)</f>
        <v>0</v>
      </c>
      <c r="Z227">
        <f>IF(Source!BI66=4,H210+H211+H213+H214+H215, 0)</f>
        <v>0</v>
      </c>
    </row>
    <row r="228" spans="1:26" ht="57" x14ac:dyDescent="0.2">
      <c r="A228" s="42" t="str">
        <f>Source!E77</f>
        <v>19</v>
      </c>
      <c r="B228" s="43" t="str">
        <f>Source!F77</f>
        <v>15-01-050-02</v>
      </c>
      <c r="C228" s="43" t="str">
        <f>Source!G77</f>
        <v>Облицовка стен декоративным бумажно-слоистым пластиком или листами из синтетических материалов по металлическому каркасу</v>
      </c>
      <c r="D228" s="26" t="str">
        <f>Source!H77</f>
        <v>100 м2</v>
      </c>
      <c r="E228" s="10">
        <f>Source!I77</f>
        <v>0.38</v>
      </c>
      <c r="F228" s="27">
        <f>Source!AL77+Source!AM77+Source!AO77</f>
        <v>1766.32</v>
      </c>
      <c r="G228" s="28"/>
      <c r="H228" s="27"/>
      <c r="I228" s="28" t="str">
        <f>Source!BO77</f>
        <v/>
      </c>
      <c r="J228" s="28"/>
      <c r="K228" s="27"/>
      <c r="L228" s="29"/>
      <c r="S228">
        <f>ROUND((Source!FX77/100)*((ROUND(Source!AF77*Source!I77, 2)+ROUND(Source!AE77*Source!I77, 2))), 2)</f>
        <v>358.2</v>
      </c>
      <c r="T228">
        <f>Source!X77</f>
        <v>2207.4</v>
      </c>
      <c r="U228">
        <f>ROUND((Source!FY77/100)*((ROUND(Source!AF77*Source!I77, 2)+ROUND(Source!AE77*Source!I77, 2))), 2)</f>
        <v>177.21</v>
      </c>
      <c r="V228">
        <f>Source!Y77</f>
        <v>1092.08</v>
      </c>
    </row>
    <row r="229" spans="1:26" x14ac:dyDescent="0.2">
      <c r="C229" s="22" t="str">
        <f>"Объем: "&amp;Source!I77&amp;"=38/"&amp;"100"</f>
        <v>Объем: 0,38=38/100</v>
      </c>
    </row>
    <row r="230" spans="1:26" ht="14.25" x14ac:dyDescent="0.2">
      <c r="A230" s="42"/>
      <c r="B230" s="43"/>
      <c r="C230" s="43" t="s">
        <v>1302</v>
      </c>
      <c r="D230" s="26"/>
      <c r="E230" s="10"/>
      <c r="F230" s="27">
        <f>Source!AO77</f>
        <v>708.51</v>
      </c>
      <c r="G230" s="28" t="str">
        <f>Source!DG77</f>
        <v>)*1,15)*1,2</v>
      </c>
      <c r="H230" s="27">
        <f>ROUND(Source!AF77*Source!I77, 2)</f>
        <v>371.54</v>
      </c>
      <c r="I230" s="28"/>
      <c r="J230" s="28">
        <f>IF(Source!BA77&lt;&gt; 0, Source!BA77, 1)</f>
        <v>6.13</v>
      </c>
      <c r="K230" s="27">
        <f>Source!S77</f>
        <v>2277.5500000000002</v>
      </c>
      <c r="L230" s="29"/>
      <c r="R230">
        <f>H230</f>
        <v>371.54</v>
      </c>
    </row>
    <row r="231" spans="1:26" ht="14.25" x14ac:dyDescent="0.2">
      <c r="A231" s="42"/>
      <c r="B231" s="43"/>
      <c r="C231" s="43" t="s">
        <v>334</v>
      </c>
      <c r="D231" s="26"/>
      <c r="E231" s="10"/>
      <c r="F231" s="27">
        <f>Source!AM77</f>
        <v>67.77</v>
      </c>
      <c r="G231" s="28" t="str">
        <f>Source!DE77</f>
        <v>)*1,25)*1,2</v>
      </c>
      <c r="H231" s="27">
        <f>ROUND(Source!AD77*Source!I77, 2)</f>
        <v>38.630000000000003</v>
      </c>
      <c r="I231" s="28"/>
      <c r="J231" s="28">
        <f>IF(Source!BB77&lt;&gt; 0, Source!BB77, 1)</f>
        <v>6.13</v>
      </c>
      <c r="K231" s="27">
        <f>Source!Q77</f>
        <v>236.81</v>
      </c>
      <c r="L231" s="29"/>
    </row>
    <row r="232" spans="1:26" ht="14.25" x14ac:dyDescent="0.2">
      <c r="A232" s="42"/>
      <c r="B232" s="43"/>
      <c r="C232" s="43" t="s">
        <v>1303</v>
      </c>
      <c r="D232" s="26"/>
      <c r="E232" s="10"/>
      <c r="F232" s="27">
        <f>Source!AN77</f>
        <v>13.17</v>
      </c>
      <c r="G232" s="28" t="str">
        <f>Source!DF77</f>
        <v>)*1,25)*1,2</v>
      </c>
      <c r="H232" s="30">
        <f>ROUND(Source!AE77*Source!I77, 2)</f>
        <v>7.51</v>
      </c>
      <c r="I232" s="28"/>
      <c r="J232" s="28">
        <f>IF(Source!BS77&lt;&gt; 0, Source!BS77, 1)</f>
        <v>6.13</v>
      </c>
      <c r="K232" s="30">
        <f>Source!R77</f>
        <v>46.03</v>
      </c>
      <c r="L232" s="29"/>
      <c r="R232">
        <f>H232</f>
        <v>7.51</v>
      </c>
    </row>
    <row r="233" spans="1:26" ht="14.25" x14ac:dyDescent="0.2">
      <c r="A233" s="42"/>
      <c r="B233" s="43"/>
      <c r="C233" s="43" t="s">
        <v>1309</v>
      </c>
      <c r="D233" s="26"/>
      <c r="E233" s="10"/>
      <c r="F233" s="27">
        <f>Source!AL77</f>
        <v>990.04</v>
      </c>
      <c r="G233" s="28" t="str">
        <f>Source!DD77</f>
        <v/>
      </c>
      <c r="H233" s="27">
        <f>ROUND(Source!AC77*Source!I77, 2)</f>
        <v>376.22</v>
      </c>
      <c r="I233" s="28"/>
      <c r="J233" s="28">
        <f>IF(Source!BC77&lt;&gt; 0, Source!BC77, 1)</f>
        <v>6.13</v>
      </c>
      <c r="K233" s="27">
        <f>Source!P77</f>
        <v>2306.1999999999998</v>
      </c>
      <c r="L233" s="29"/>
    </row>
    <row r="234" spans="1:26" ht="14.25" x14ac:dyDescent="0.2">
      <c r="A234" s="42"/>
      <c r="B234" s="43"/>
      <c r="C234" s="43" t="s">
        <v>1304</v>
      </c>
      <c r="D234" s="26" t="s">
        <v>1305</v>
      </c>
      <c r="E234" s="10">
        <f>Source!BZ77</f>
        <v>105</v>
      </c>
      <c r="F234" s="50" t="str">
        <f>CONCATENATE(" )", Source!DL77, Source!FT77, "=", Source!FX77)</f>
        <v xml:space="preserve"> )*0,9=94,5</v>
      </c>
      <c r="G234" s="62"/>
      <c r="H234" s="27">
        <f>SUM(S228:S238)</f>
        <v>358.2</v>
      </c>
      <c r="I234" s="31"/>
      <c r="J234" s="25">
        <f>Source!AT77</f>
        <v>95</v>
      </c>
      <c r="K234" s="27">
        <f>SUM(T228:T238)</f>
        <v>2207.4</v>
      </c>
      <c r="L234" s="29"/>
    </row>
    <row r="235" spans="1:26" ht="14.25" x14ac:dyDescent="0.2">
      <c r="A235" s="42"/>
      <c r="B235" s="43"/>
      <c r="C235" s="43" t="s">
        <v>1306</v>
      </c>
      <c r="D235" s="26" t="s">
        <v>1305</v>
      </c>
      <c r="E235" s="10">
        <f>Source!CA77</f>
        <v>55</v>
      </c>
      <c r="F235" s="50" t="str">
        <f>CONCATENATE(" )", Source!DM77, Source!FU77, "=", Source!FY77)</f>
        <v xml:space="preserve"> )*0,85=46,75</v>
      </c>
      <c r="G235" s="62"/>
      <c r="H235" s="27">
        <f>SUM(U228:U238)</f>
        <v>177.21</v>
      </c>
      <c r="I235" s="31"/>
      <c r="J235" s="25">
        <f>Source!AU77</f>
        <v>47</v>
      </c>
      <c r="K235" s="27">
        <f>SUM(V228:V238)</f>
        <v>1092.08</v>
      </c>
      <c r="L235" s="29"/>
    </row>
    <row r="236" spans="1:26" ht="14.25" x14ac:dyDescent="0.2">
      <c r="A236" s="42"/>
      <c r="B236" s="43"/>
      <c r="C236" s="43" t="s">
        <v>1307</v>
      </c>
      <c r="D236" s="26" t="s">
        <v>1308</v>
      </c>
      <c r="E236" s="10">
        <f>Source!AQ77</f>
        <v>77.180000000000007</v>
      </c>
      <c r="F236" s="27"/>
      <c r="G236" s="28" t="str">
        <f>Source!DI77</f>
        <v>)*1,15)*1,2</v>
      </c>
      <c r="H236" s="27"/>
      <c r="I236" s="28"/>
      <c r="J236" s="28"/>
      <c r="K236" s="27"/>
      <c r="L236" s="38">
        <f>Source!U77</f>
        <v>40.473192000000004</v>
      </c>
    </row>
    <row r="237" spans="1:26" ht="42.75" x14ac:dyDescent="0.2">
      <c r="A237" s="42" t="str">
        <f>Source!E78</f>
        <v>19,1</v>
      </c>
      <c r="B237" s="43" t="str">
        <f>Source!F78</f>
        <v>11.3.03.04-0001</v>
      </c>
      <c r="C237" s="43" t="str">
        <f>Source!G78</f>
        <v>Панели декоративные пластиковые «PROFIPLAST», размером 2700х250х8 мм</v>
      </c>
      <c r="D237" s="26" t="str">
        <f>Source!H78</f>
        <v>м2</v>
      </c>
      <c r="E237" s="10">
        <f>Source!I78</f>
        <v>39.405999999999999</v>
      </c>
      <c r="F237" s="27">
        <f>Source!AL78+Source!AM78+Source!AO78</f>
        <v>62.08</v>
      </c>
      <c r="G237" s="39" t="s">
        <v>3</v>
      </c>
      <c r="H237" s="27">
        <f>ROUND(Source!AC78*Source!I78, 2)+ROUND(Source!AD78*Source!I78, 2)+ROUND(Source!AF78*Source!I78, 2)</f>
        <v>2446.3200000000002</v>
      </c>
      <c r="I237" s="28"/>
      <c r="J237" s="28">
        <f>IF(Source!BC78&lt;&gt; 0, Source!BC78, 1)</f>
        <v>6.13</v>
      </c>
      <c r="K237" s="27">
        <f>Source!O78</f>
        <v>14995.97</v>
      </c>
      <c r="L237" s="29"/>
      <c r="S237">
        <f>ROUND((Source!FX78/100)*((ROUND(Source!AF78*Source!I78, 2)+ROUND(Source!AE78*Source!I78, 2))), 2)</f>
        <v>0</v>
      </c>
      <c r="T237">
        <f>Source!X78</f>
        <v>0</v>
      </c>
      <c r="U237">
        <f>ROUND((Source!FY78/100)*((ROUND(Source!AF78*Source!I78, 2)+ROUND(Source!AE78*Source!I78, 2))), 2)</f>
        <v>0</v>
      </c>
      <c r="V237">
        <f>Source!Y78</f>
        <v>0</v>
      </c>
      <c r="W237">
        <f>IF(Source!BI78&lt;=1,H237, 0)</f>
        <v>2446.3200000000002</v>
      </c>
      <c r="X237">
        <f>IF(Source!BI78=2,H237, 0)</f>
        <v>0</v>
      </c>
      <c r="Y237">
        <f>IF(Source!BI78=3,H237, 0)</f>
        <v>0</v>
      </c>
      <c r="Z237">
        <f>IF(Source!BI78=4,H237, 0)</f>
        <v>0</v>
      </c>
    </row>
    <row r="238" spans="1:26" ht="14.25" x14ac:dyDescent="0.2">
      <c r="A238" s="44" t="str">
        <f>Source!E79</f>
        <v>19,2</v>
      </c>
      <c r="B238" s="45" t="str">
        <f>Source!F79</f>
        <v>01.6.01.11</v>
      </c>
      <c r="C238" s="45" t="str">
        <f>Source!G79</f>
        <v>Листы облицовочные декоративные</v>
      </c>
      <c r="D238" s="32" t="str">
        <f>Source!H79</f>
        <v>м2</v>
      </c>
      <c r="E238" s="33">
        <f>Source!I79</f>
        <v>39.405999999999999</v>
      </c>
      <c r="F238" s="34">
        <f>Source!AL79+Source!AM79+Source!AO79</f>
        <v>0</v>
      </c>
      <c r="G238" s="40" t="s">
        <v>3</v>
      </c>
      <c r="H238" s="34">
        <f>ROUND(Source!AC79*Source!I79, 2)+ROUND(Source!AD79*Source!I79, 2)+ROUND(Source!AF79*Source!I79, 2)</f>
        <v>0</v>
      </c>
      <c r="I238" s="35"/>
      <c r="J238" s="35">
        <f>IF(Source!BC79&lt;&gt; 0, Source!BC79, 1)</f>
        <v>6.13</v>
      </c>
      <c r="K238" s="34">
        <f>Source!O79</f>
        <v>0</v>
      </c>
      <c r="L238" s="41"/>
      <c r="S238">
        <f>ROUND((Source!FX79/100)*((ROUND(Source!AF79*Source!I79, 2)+ROUND(Source!AE79*Source!I79, 2))), 2)</f>
        <v>0</v>
      </c>
      <c r="T238">
        <f>Source!X79</f>
        <v>0</v>
      </c>
      <c r="U238">
        <f>ROUND((Source!FY79/100)*((ROUND(Source!AF79*Source!I79, 2)+ROUND(Source!AE79*Source!I79, 2))), 2)</f>
        <v>0</v>
      </c>
      <c r="V238">
        <f>Source!Y79</f>
        <v>0</v>
      </c>
      <c r="W238">
        <f>IF(Source!BI79&lt;=1,H238, 0)</f>
        <v>0</v>
      </c>
      <c r="X238">
        <f>IF(Source!BI79=2,H238, 0)</f>
        <v>0</v>
      </c>
      <c r="Y238">
        <f>IF(Source!BI79=3,H238, 0)</f>
        <v>0</v>
      </c>
      <c r="Z238">
        <f>IF(Source!BI79=4,H238, 0)</f>
        <v>0</v>
      </c>
    </row>
    <row r="239" spans="1:26" ht="15" x14ac:dyDescent="0.25">
      <c r="G239" s="61">
        <f>H230+H231+H233+H234+H235+SUM(H237:H238)</f>
        <v>3768.1200000000003</v>
      </c>
      <c r="H239" s="61"/>
      <c r="J239" s="61">
        <f>K230+K231+K233+K234+K235+SUM(K237:K238)</f>
        <v>23116.01</v>
      </c>
      <c r="K239" s="61"/>
      <c r="L239" s="37">
        <f>Source!U77</f>
        <v>40.473192000000004</v>
      </c>
      <c r="O239" s="23">
        <f>G239</f>
        <v>3768.1200000000003</v>
      </c>
      <c r="P239" s="23">
        <f>J239</f>
        <v>23116.01</v>
      </c>
      <c r="Q239" s="23">
        <f>L239</f>
        <v>40.473192000000004</v>
      </c>
      <c r="W239">
        <f>IF(Source!BI77&lt;=1,H230+H231+H233+H234+H235, 0)</f>
        <v>1321.8000000000002</v>
      </c>
      <c r="X239">
        <f>IF(Source!BI77=2,H230+H231+H233+H234+H235, 0)</f>
        <v>0</v>
      </c>
      <c r="Y239">
        <f>IF(Source!BI77=3,H230+H231+H233+H234+H235, 0)</f>
        <v>0</v>
      </c>
      <c r="Z239">
        <f>IF(Source!BI77=4,H230+H231+H233+H234+H235, 0)</f>
        <v>0</v>
      </c>
    </row>
    <row r="240" spans="1:26" ht="71.25" x14ac:dyDescent="0.2">
      <c r="A240" s="42" t="str">
        <f>Source!E80</f>
        <v>20</v>
      </c>
      <c r="B240" s="43" t="str">
        <f>Source!F80</f>
        <v>62-17-3</v>
      </c>
      <c r="C240" s="43" t="str">
        <f>Source!G80</f>
        <v>Окрашивание водоэмульсионными составами поверхностей потолков, ранее окрашенных водоэмульсионной краской, с расчисткой старой краски до 35%</v>
      </c>
      <c r="D240" s="26" t="str">
        <f>Source!H80</f>
        <v>100 м2</v>
      </c>
      <c r="E240" s="10">
        <f>Source!I80</f>
        <v>0.156</v>
      </c>
      <c r="F240" s="27">
        <f>Source!AL80+Source!AM80+Source!AO80</f>
        <v>769.99</v>
      </c>
      <c r="G240" s="28"/>
      <c r="H240" s="27"/>
      <c r="I240" s="28" t="str">
        <f>Source!BO80</f>
        <v/>
      </c>
      <c r="J240" s="28"/>
      <c r="K240" s="27"/>
      <c r="L240" s="29"/>
      <c r="S240">
        <f>ROUND((Source!FX80/100)*((ROUND(Source!AF80*Source!I80, 2)+ROUND(Source!AE80*Source!I80, 2))), 2)</f>
        <v>39.340000000000003</v>
      </c>
      <c r="T240">
        <f>Source!X80</f>
        <v>241.18</v>
      </c>
      <c r="U240">
        <f>ROUND((Source!FY80/100)*((ROUND(Source!AF80*Source!I80, 2)+ROUND(Source!AE80*Source!I80, 2))), 2)</f>
        <v>24.59</v>
      </c>
      <c r="V240">
        <f>Source!Y80</f>
        <v>150.74</v>
      </c>
    </row>
    <row r="241" spans="1:26" x14ac:dyDescent="0.2">
      <c r="C241" s="22" t="str">
        <f>"Объем: "&amp;Source!I80&amp;"=15,6/"&amp;"100"</f>
        <v>Объем: 0,156=15,6/100</v>
      </c>
    </row>
    <row r="242" spans="1:26" ht="14.25" x14ac:dyDescent="0.2">
      <c r="A242" s="42"/>
      <c r="B242" s="43"/>
      <c r="C242" s="43" t="s">
        <v>1302</v>
      </c>
      <c r="D242" s="26"/>
      <c r="E242" s="10"/>
      <c r="F242" s="27">
        <f>Source!AO80</f>
        <v>313.2</v>
      </c>
      <c r="G242" s="28" t="str">
        <f>Source!DG80</f>
        <v/>
      </c>
      <c r="H242" s="27">
        <f>ROUND(Source!AF80*Source!I80, 2)</f>
        <v>48.86</v>
      </c>
      <c r="I242" s="28"/>
      <c r="J242" s="28">
        <f>IF(Source!BA80&lt;&gt; 0, Source!BA80, 1)</f>
        <v>6.13</v>
      </c>
      <c r="K242" s="27">
        <f>Source!S80</f>
        <v>299.51</v>
      </c>
      <c r="L242" s="29"/>
      <c r="R242">
        <f>H242</f>
        <v>48.86</v>
      </c>
    </row>
    <row r="243" spans="1:26" ht="14.25" x14ac:dyDescent="0.2">
      <c r="A243" s="42"/>
      <c r="B243" s="43"/>
      <c r="C243" s="43" t="s">
        <v>334</v>
      </c>
      <c r="D243" s="26"/>
      <c r="E243" s="10"/>
      <c r="F243" s="27">
        <f>Source!AM80</f>
        <v>7.07</v>
      </c>
      <c r="G243" s="28" t="str">
        <f>Source!DE80</f>
        <v/>
      </c>
      <c r="H243" s="27">
        <f>ROUND(Source!AD80*Source!I80, 2)</f>
        <v>1.1000000000000001</v>
      </c>
      <c r="I243" s="28"/>
      <c r="J243" s="28">
        <f>IF(Source!BB80&lt;&gt; 0, Source!BB80, 1)</f>
        <v>6.13</v>
      </c>
      <c r="K243" s="27">
        <f>Source!Q80</f>
        <v>6.76</v>
      </c>
      <c r="L243" s="29"/>
    </row>
    <row r="244" spans="1:26" ht="14.25" x14ac:dyDescent="0.2">
      <c r="A244" s="42"/>
      <c r="B244" s="43"/>
      <c r="C244" s="43" t="s">
        <v>1303</v>
      </c>
      <c r="D244" s="26"/>
      <c r="E244" s="10"/>
      <c r="F244" s="27">
        <f>Source!AN80</f>
        <v>2.0499999999999998</v>
      </c>
      <c r="G244" s="28" t="str">
        <f>Source!DF80</f>
        <v/>
      </c>
      <c r="H244" s="30">
        <f>ROUND(Source!AE80*Source!I80, 2)</f>
        <v>0.32</v>
      </c>
      <c r="I244" s="28"/>
      <c r="J244" s="28">
        <f>IF(Source!BS80&lt;&gt; 0, Source!BS80, 1)</f>
        <v>6.13</v>
      </c>
      <c r="K244" s="30">
        <f>Source!R80</f>
        <v>1.96</v>
      </c>
      <c r="L244" s="29"/>
      <c r="R244">
        <f>H244</f>
        <v>0.32</v>
      </c>
    </row>
    <row r="245" spans="1:26" ht="14.25" x14ac:dyDescent="0.2">
      <c r="A245" s="42"/>
      <c r="B245" s="43"/>
      <c r="C245" s="43" t="s">
        <v>1309</v>
      </c>
      <c r="D245" s="26"/>
      <c r="E245" s="10"/>
      <c r="F245" s="27">
        <f>Source!AL80</f>
        <v>449.72</v>
      </c>
      <c r="G245" s="28" t="str">
        <f>Source!DD80</f>
        <v/>
      </c>
      <c r="H245" s="27">
        <f>ROUND(Source!AC80*Source!I80, 2)</f>
        <v>70.16</v>
      </c>
      <c r="I245" s="28"/>
      <c r="J245" s="28">
        <f>IF(Source!BC80&lt;&gt; 0, Source!BC80, 1)</f>
        <v>6.13</v>
      </c>
      <c r="K245" s="27">
        <f>Source!P80</f>
        <v>430.06</v>
      </c>
      <c r="L245" s="29"/>
    </row>
    <row r="246" spans="1:26" ht="14.25" x14ac:dyDescent="0.2">
      <c r="A246" s="42"/>
      <c r="B246" s="43"/>
      <c r="C246" s="43" t="s">
        <v>1304</v>
      </c>
      <c r="D246" s="26" t="s">
        <v>1305</v>
      </c>
      <c r="E246" s="10">
        <f>Source!BZ80</f>
        <v>80</v>
      </c>
      <c r="F246" s="46"/>
      <c r="G246" s="28"/>
      <c r="H246" s="27">
        <f>SUM(S240:S250)</f>
        <v>39.340000000000003</v>
      </c>
      <c r="I246" s="31"/>
      <c r="J246" s="25">
        <f>Source!AT80</f>
        <v>80</v>
      </c>
      <c r="K246" s="27">
        <f>SUM(T240:T250)</f>
        <v>241.18</v>
      </c>
      <c r="L246" s="29"/>
    </row>
    <row r="247" spans="1:26" ht="14.25" x14ac:dyDescent="0.2">
      <c r="A247" s="42"/>
      <c r="B247" s="43"/>
      <c r="C247" s="43" t="s">
        <v>1306</v>
      </c>
      <c r="D247" s="26" t="s">
        <v>1305</v>
      </c>
      <c r="E247" s="10">
        <f>Source!CA80</f>
        <v>50</v>
      </c>
      <c r="F247" s="46"/>
      <c r="G247" s="28"/>
      <c r="H247" s="27">
        <f>SUM(U240:U250)</f>
        <v>24.59</v>
      </c>
      <c r="I247" s="31"/>
      <c r="J247" s="25">
        <f>Source!AU80</f>
        <v>50</v>
      </c>
      <c r="K247" s="27">
        <f>SUM(V240:V250)</f>
        <v>150.74</v>
      </c>
      <c r="L247" s="29"/>
    </row>
    <row r="248" spans="1:26" ht="14.25" x14ac:dyDescent="0.2">
      <c r="A248" s="42"/>
      <c r="B248" s="43"/>
      <c r="C248" s="43" t="s">
        <v>1307</v>
      </c>
      <c r="D248" s="26" t="s">
        <v>1308</v>
      </c>
      <c r="E248" s="10">
        <f>Source!AQ80</f>
        <v>36.25</v>
      </c>
      <c r="F248" s="27"/>
      <c r="G248" s="28" t="str">
        <f>Source!DI80</f>
        <v/>
      </c>
      <c r="H248" s="27"/>
      <c r="I248" s="28"/>
      <c r="J248" s="28"/>
      <c r="K248" s="27"/>
      <c r="L248" s="38">
        <f>Source!U80</f>
        <v>5.6550000000000002</v>
      </c>
    </row>
    <row r="249" spans="1:26" ht="28.5" x14ac:dyDescent="0.2">
      <c r="A249" s="42" t="str">
        <f>Source!E81</f>
        <v>20,1</v>
      </c>
      <c r="B249" s="43" t="str">
        <f>Source!F81</f>
        <v>14.3.02.01-0124</v>
      </c>
      <c r="C249" s="43" t="str">
        <f>Source!G81</f>
        <v>Краска акриловая ОПТИМИСТ водно-дисперсионная</v>
      </c>
      <c r="D249" s="26" t="str">
        <f>Source!H81</f>
        <v>т</v>
      </c>
      <c r="E249" s="10">
        <f>Source!I81</f>
        <v>1.0451999999999998E-2</v>
      </c>
      <c r="F249" s="27">
        <f>Source!AL81+Source!AM81+Source!AO81</f>
        <v>4357.6499999999996</v>
      </c>
      <c r="G249" s="39" t="s">
        <v>3</v>
      </c>
      <c r="H249" s="27">
        <f>ROUND(Source!AC81*Source!I81, 2)+ROUND(Source!AD81*Source!I81, 2)+ROUND(Source!AF81*Source!I81, 2)</f>
        <v>45.55</v>
      </c>
      <c r="I249" s="28"/>
      <c r="J249" s="28">
        <f>IF(Source!BC81&lt;&gt; 0, Source!BC81, 1)</f>
        <v>6.13</v>
      </c>
      <c r="K249" s="27">
        <f>Source!O81</f>
        <v>279.2</v>
      </c>
      <c r="L249" s="29"/>
      <c r="S249">
        <f>ROUND((Source!FX81/100)*((ROUND(Source!AF81*Source!I81, 2)+ROUND(Source!AE81*Source!I81, 2))), 2)</f>
        <v>0</v>
      </c>
      <c r="T249">
        <f>Source!X81</f>
        <v>0</v>
      </c>
      <c r="U249">
        <f>ROUND((Source!FY81/100)*((ROUND(Source!AF81*Source!I81, 2)+ROUND(Source!AE81*Source!I81, 2))), 2)</f>
        <v>0</v>
      </c>
      <c r="V249">
        <f>Source!Y81</f>
        <v>0</v>
      </c>
      <c r="W249">
        <f>IF(Source!BI81&lt;=1,H249, 0)</f>
        <v>45.55</v>
      </c>
      <c r="X249">
        <f>IF(Source!BI81=2,H249, 0)</f>
        <v>0</v>
      </c>
      <c r="Y249">
        <f>IF(Source!BI81=3,H249, 0)</f>
        <v>0</v>
      </c>
      <c r="Z249">
        <f>IF(Source!BI81=4,H249, 0)</f>
        <v>0</v>
      </c>
    </row>
    <row r="250" spans="1:26" ht="14.25" x14ac:dyDescent="0.2">
      <c r="A250" s="44" t="str">
        <f>Source!E82</f>
        <v>20,2</v>
      </c>
      <c r="B250" s="45" t="str">
        <f>Source!F82</f>
        <v>14.3.02.01</v>
      </c>
      <c r="C250" s="45" t="str">
        <f>Source!G82</f>
        <v>Краска водоэмульсионная</v>
      </c>
      <c r="D250" s="32" t="str">
        <f>Source!H82</f>
        <v>т</v>
      </c>
      <c r="E250" s="33">
        <f>Source!I82</f>
        <v>1.0451999999999998E-2</v>
      </c>
      <c r="F250" s="34">
        <f>Source!AL82+Source!AM82+Source!AO82</f>
        <v>0</v>
      </c>
      <c r="G250" s="40" t="s">
        <v>3</v>
      </c>
      <c r="H250" s="34">
        <f>ROUND(Source!AC82*Source!I82, 2)+ROUND(Source!AD82*Source!I82, 2)+ROUND(Source!AF82*Source!I82, 2)</f>
        <v>0</v>
      </c>
      <c r="I250" s="35"/>
      <c r="J250" s="35">
        <f>IF(Source!BC82&lt;&gt; 0, Source!BC82, 1)</f>
        <v>6.13</v>
      </c>
      <c r="K250" s="34">
        <f>Source!O82</f>
        <v>0</v>
      </c>
      <c r="L250" s="41"/>
      <c r="S250">
        <f>ROUND((Source!FX82/100)*((ROUND(Source!AF82*Source!I82, 2)+ROUND(Source!AE82*Source!I82, 2))), 2)</f>
        <v>0</v>
      </c>
      <c r="T250">
        <f>Source!X82</f>
        <v>0</v>
      </c>
      <c r="U250">
        <f>ROUND((Source!FY82/100)*((ROUND(Source!AF82*Source!I82, 2)+ROUND(Source!AE82*Source!I82, 2))), 2)</f>
        <v>0</v>
      </c>
      <c r="V250">
        <f>Source!Y82</f>
        <v>0</v>
      </c>
      <c r="W250">
        <f>IF(Source!BI82&lt;=1,H250, 0)</f>
        <v>0</v>
      </c>
      <c r="X250">
        <f>IF(Source!BI82=2,H250, 0)</f>
        <v>0</v>
      </c>
      <c r="Y250">
        <f>IF(Source!BI82=3,H250, 0)</f>
        <v>0</v>
      </c>
      <c r="Z250">
        <f>IF(Source!BI82=4,H250, 0)</f>
        <v>0</v>
      </c>
    </row>
    <row r="251" spans="1:26" ht="15" x14ac:dyDescent="0.25">
      <c r="G251" s="61">
        <f>H242+H243+H245+H246+H247+SUM(H249:H250)</f>
        <v>229.60000000000002</v>
      </c>
      <c r="H251" s="61"/>
      <c r="J251" s="61">
        <f>K242+K243+K245+K246+K247+SUM(K249:K250)</f>
        <v>1407.45</v>
      </c>
      <c r="K251" s="61"/>
      <c r="L251" s="37">
        <f>Source!U80</f>
        <v>5.6550000000000002</v>
      </c>
      <c r="O251" s="23">
        <f>G251</f>
        <v>229.60000000000002</v>
      </c>
      <c r="P251" s="23">
        <f>J251</f>
        <v>1407.45</v>
      </c>
      <c r="Q251" s="23">
        <f>L251</f>
        <v>5.6550000000000002</v>
      </c>
      <c r="W251">
        <f>IF(Source!BI80&lt;=1,H242+H243+H245+H246+H247, 0)</f>
        <v>184.05</v>
      </c>
      <c r="X251">
        <f>IF(Source!BI80=2,H242+H243+H245+H246+H247, 0)</f>
        <v>0</v>
      </c>
      <c r="Y251">
        <f>IF(Source!BI80=3,H242+H243+H245+H246+H247, 0)</f>
        <v>0</v>
      </c>
      <c r="Z251">
        <f>IF(Source!BI80=4,H242+H243+H245+H246+H247, 0)</f>
        <v>0</v>
      </c>
    </row>
    <row r="252" spans="1:26" ht="28.5" x14ac:dyDescent="0.2">
      <c r="A252" s="42" t="str">
        <f>Source!E83</f>
        <v>21</v>
      </c>
      <c r="B252" s="43" t="str">
        <f>Source!F83</f>
        <v>08-02-001-07</v>
      </c>
      <c r="C252" s="43" t="str">
        <f>Source!G83</f>
        <v>Кладка стен кирпичных внутренних при высоте этажа до 4 м</v>
      </c>
      <c r="D252" s="26" t="str">
        <f>Source!H83</f>
        <v>м3</v>
      </c>
      <c r="E252" s="10">
        <f>Source!I83</f>
        <v>2.6</v>
      </c>
      <c r="F252" s="27">
        <f>Source!AL83+Source!AM83+Source!AO83</f>
        <v>201.09000000000003</v>
      </c>
      <c r="G252" s="28"/>
      <c r="H252" s="27"/>
      <c r="I252" s="28" t="str">
        <f>Source!BO83</f>
        <v/>
      </c>
      <c r="J252" s="28"/>
      <c r="K252" s="27"/>
      <c r="L252" s="29"/>
      <c r="S252">
        <f>ROUND((Source!FX83/100)*((ROUND(Source!AF83*Source!I83, 2)+ROUND(Source!AE83*Source!I83, 2))), 2)</f>
        <v>193.7</v>
      </c>
      <c r="T252">
        <f>Source!X83</f>
        <v>1189.54</v>
      </c>
      <c r="U252">
        <f>ROUND((Source!FY83/100)*((ROUND(Source!AF83*Source!I83, 2)+ROUND(Source!AE83*Source!I83, 2))), 2)</f>
        <v>119.96</v>
      </c>
      <c r="V252">
        <f>Source!Y83</f>
        <v>735.35</v>
      </c>
    </row>
    <row r="253" spans="1:26" ht="14.25" x14ac:dyDescent="0.2">
      <c r="A253" s="42"/>
      <c r="B253" s="43"/>
      <c r="C253" s="43" t="s">
        <v>1302</v>
      </c>
      <c r="D253" s="26"/>
      <c r="E253" s="10"/>
      <c r="F253" s="27">
        <f>Source!AO83</f>
        <v>43.3</v>
      </c>
      <c r="G253" s="28" t="str">
        <f>Source!DG83</f>
        <v>)*1,15)*1,2</v>
      </c>
      <c r="H253" s="27">
        <f>ROUND(Source!AF83*Source!I83, 2)</f>
        <v>155.35</v>
      </c>
      <c r="I253" s="28"/>
      <c r="J253" s="28">
        <f>IF(Source!BA83&lt;&gt; 0, Source!BA83, 1)</f>
        <v>6.13</v>
      </c>
      <c r="K253" s="27">
        <f>Source!S83</f>
        <v>952.3</v>
      </c>
      <c r="L253" s="29"/>
      <c r="R253">
        <f>H253</f>
        <v>155.35</v>
      </c>
    </row>
    <row r="254" spans="1:26" ht="14.25" x14ac:dyDescent="0.2">
      <c r="A254" s="42"/>
      <c r="B254" s="43"/>
      <c r="C254" s="43" t="s">
        <v>334</v>
      </c>
      <c r="D254" s="26"/>
      <c r="E254" s="10"/>
      <c r="F254" s="27">
        <f>Source!AM83</f>
        <v>34.56</v>
      </c>
      <c r="G254" s="28" t="str">
        <f>Source!DE83</f>
        <v>)*1,25)*1,2</v>
      </c>
      <c r="H254" s="27">
        <f>ROUND(Source!AD83*Source!I83, 2)</f>
        <v>134.78</v>
      </c>
      <c r="I254" s="28"/>
      <c r="J254" s="28">
        <f>IF(Source!BB83&lt;&gt; 0, Source!BB83, 1)</f>
        <v>6.13</v>
      </c>
      <c r="K254" s="27">
        <f>Source!Q83</f>
        <v>826.23</v>
      </c>
      <c r="L254" s="29"/>
    </row>
    <row r="255" spans="1:26" ht="14.25" x14ac:dyDescent="0.2">
      <c r="A255" s="42"/>
      <c r="B255" s="43"/>
      <c r="C255" s="43" t="s">
        <v>1303</v>
      </c>
      <c r="D255" s="26"/>
      <c r="E255" s="10"/>
      <c r="F255" s="27">
        <f>Source!AN83</f>
        <v>5.4</v>
      </c>
      <c r="G255" s="28" t="str">
        <f>Source!DF83</f>
        <v>)*1,25)*1,2</v>
      </c>
      <c r="H255" s="30">
        <f>ROUND(Source!AE83*Source!I83, 2)</f>
        <v>21.06</v>
      </c>
      <c r="I255" s="28"/>
      <c r="J255" s="28">
        <f>IF(Source!BS83&lt;&gt; 0, Source!BS83, 1)</f>
        <v>6.13</v>
      </c>
      <c r="K255" s="30">
        <f>Source!R83</f>
        <v>129.1</v>
      </c>
      <c r="L255" s="29"/>
      <c r="R255">
        <f>H255</f>
        <v>21.06</v>
      </c>
    </row>
    <row r="256" spans="1:26" ht="14.25" x14ac:dyDescent="0.2">
      <c r="A256" s="42"/>
      <c r="B256" s="43"/>
      <c r="C256" s="43" t="s">
        <v>1309</v>
      </c>
      <c r="D256" s="26"/>
      <c r="E256" s="10"/>
      <c r="F256" s="27">
        <f>Source!AL83</f>
        <v>123.23</v>
      </c>
      <c r="G256" s="28" t="str">
        <f>Source!DD83</f>
        <v/>
      </c>
      <c r="H256" s="27">
        <f>ROUND(Source!AC83*Source!I83, 2)</f>
        <v>320.39999999999998</v>
      </c>
      <c r="I256" s="28"/>
      <c r="J256" s="28">
        <f>IF(Source!BC83&lt;&gt; 0, Source!BC83, 1)</f>
        <v>6.13</v>
      </c>
      <c r="K256" s="27">
        <f>Source!P83</f>
        <v>1964.04</v>
      </c>
      <c r="L256" s="29"/>
    </row>
    <row r="257" spans="1:26" ht="14.25" x14ac:dyDescent="0.2">
      <c r="A257" s="42"/>
      <c r="B257" s="43"/>
      <c r="C257" s="43" t="s">
        <v>1304</v>
      </c>
      <c r="D257" s="26" t="s">
        <v>1305</v>
      </c>
      <c r="E257" s="10">
        <f>Source!BZ83</f>
        <v>122</v>
      </c>
      <c r="F257" s="50" t="str">
        <f>CONCATENATE(" )", Source!DL83, Source!FT83, "=", Source!FX83)</f>
        <v xml:space="preserve"> )*0,9=109,8</v>
      </c>
      <c r="G257" s="62"/>
      <c r="H257" s="27">
        <f>SUM(S252:S261)</f>
        <v>193.7</v>
      </c>
      <c r="I257" s="31"/>
      <c r="J257" s="25">
        <f>Source!AT83</f>
        <v>110</v>
      </c>
      <c r="K257" s="27">
        <f>SUM(T252:T261)</f>
        <v>1189.54</v>
      </c>
      <c r="L257" s="29"/>
    </row>
    <row r="258" spans="1:26" ht="14.25" x14ac:dyDescent="0.2">
      <c r="A258" s="42"/>
      <c r="B258" s="43"/>
      <c r="C258" s="43" t="s">
        <v>1306</v>
      </c>
      <c r="D258" s="26" t="s">
        <v>1305</v>
      </c>
      <c r="E258" s="10">
        <f>Source!CA83</f>
        <v>80</v>
      </c>
      <c r="F258" s="50" t="str">
        <f>CONCATENATE(" )", Source!DM83, Source!FU83, "=", Source!FY83)</f>
        <v xml:space="preserve"> )*0,85=68</v>
      </c>
      <c r="G258" s="62"/>
      <c r="H258" s="27">
        <f>SUM(U252:U261)</f>
        <v>119.96</v>
      </c>
      <c r="I258" s="31"/>
      <c r="J258" s="25">
        <f>Source!AU83</f>
        <v>68</v>
      </c>
      <c r="K258" s="27">
        <f>SUM(V252:V261)</f>
        <v>735.35</v>
      </c>
      <c r="L258" s="29"/>
    </row>
    <row r="259" spans="1:26" ht="14.25" x14ac:dyDescent="0.2">
      <c r="A259" s="42"/>
      <c r="B259" s="43"/>
      <c r="C259" s="43" t="s">
        <v>1307</v>
      </c>
      <c r="D259" s="26" t="s">
        <v>1308</v>
      </c>
      <c r="E259" s="10">
        <f>Source!AQ83</f>
        <v>5.21</v>
      </c>
      <c r="F259" s="27"/>
      <c r="G259" s="28" t="str">
        <f>Source!DI83</f>
        <v>)*1,15)*1,2</v>
      </c>
      <c r="H259" s="27"/>
      <c r="I259" s="28"/>
      <c r="J259" s="28"/>
      <c r="K259" s="27"/>
      <c r="L259" s="38">
        <f>Source!U83</f>
        <v>18.693479999999997</v>
      </c>
    </row>
    <row r="260" spans="1:26" ht="28.5" x14ac:dyDescent="0.2">
      <c r="A260" s="42" t="str">
        <f>Source!E84</f>
        <v>21,1</v>
      </c>
      <c r="B260" s="43" t="str">
        <f>Source!F84</f>
        <v>06.1.01.04-0007</v>
      </c>
      <c r="C260" s="43" t="str">
        <f>Source!G84</f>
        <v>Кирпич глиняный для дымовых труб, размером 250х120х65 мм, марка 150</v>
      </c>
      <c r="D260" s="26" t="str">
        <f>Source!H84</f>
        <v>1000 шт.</v>
      </c>
      <c r="E260" s="10">
        <f>Source!I84</f>
        <v>1.0269999999999999</v>
      </c>
      <c r="F260" s="27">
        <f>Source!AL84+Source!AM84+Source!AO84</f>
        <v>2226.1</v>
      </c>
      <c r="G260" s="39" t="s">
        <v>3</v>
      </c>
      <c r="H260" s="27">
        <f>ROUND(Source!AC84*Source!I84, 2)+ROUND(Source!AD84*Source!I84, 2)+ROUND(Source!AF84*Source!I84, 2)</f>
        <v>2286.1999999999998</v>
      </c>
      <c r="I260" s="28"/>
      <c r="J260" s="28">
        <f>IF(Source!BC84&lt;&gt; 0, Source!BC84, 1)</f>
        <v>6.13</v>
      </c>
      <c r="K260" s="27">
        <f>Source!O84</f>
        <v>14014.43</v>
      </c>
      <c r="L260" s="29"/>
      <c r="S260">
        <f>ROUND((Source!FX84/100)*((ROUND(Source!AF84*Source!I84, 2)+ROUND(Source!AE84*Source!I84, 2))), 2)</f>
        <v>0</v>
      </c>
      <c r="T260">
        <f>Source!X84</f>
        <v>0</v>
      </c>
      <c r="U260">
        <f>ROUND((Source!FY84/100)*((ROUND(Source!AF84*Source!I84, 2)+ROUND(Source!AE84*Source!I84, 2))), 2)</f>
        <v>0</v>
      </c>
      <c r="V260">
        <f>Source!Y84</f>
        <v>0</v>
      </c>
      <c r="W260">
        <f>IF(Source!BI84&lt;=1,H260, 0)</f>
        <v>2286.1999999999998</v>
      </c>
      <c r="X260">
        <f>IF(Source!BI84=2,H260, 0)</f>
        <v>0</v>
      </c>
      <c r="Y260">
        <f>IF(Source!BI84=3,H260, 0)</f>
        <v>0</v>
      </c>
      <c r="Z260">
        <f>IF(Source!BI84=4,H260, 0)</f>
        <v>0</v>
      </c>
    </row>
    <row r="261" spans="1:26" ht="28.5" x14ac:dyDescent="0.2">
      <c r="A261" s="44" t="str">
        <f>Source!E85</f>
        <v>21,2</v>
      </c>
      <c r="B261" s="45" t="str">
        <f>Source!F85</f>
        <v>06.1.01.05</v>
      </c>
      <c r="C261" s="45" t="str">
        <f>Source!G85</f>
        <v>Кирпич керамический, силикатный или пустотелый</v>
      </c>
      <c r="D261" s="32" t="str">
        <f>Source!H85</f>
        <v>1000 шт.</v>
      </c>
      <c r="E261" s="33">
        <f>Source!I85</f>
        <v>1.0269999999999999</v>
      </c>
      <c r="F261" s="34">
        <f>Source!AL85+Source!AM85+Source!AO85</f>
        <v>0</v>
      </c>
      <c r="G261" s="40" t="s">
        <v>3</v>
      </c>
      <c r="H261" s="34">
        <f>ROUND(Source!AC85*Source!I85, 2)+ROUND(Source!AD85*Source!I85, 2)+ROUND(Source!AF85*Source!I85, 2)</f>
        <v>0</v>
      </c>
      <c r="I261" s="35"/>
      <c r="J261" s="35">
        <f>IF(Source!BC85&lt;&gt; 0, Source!BC85, 1)</f>
        <v>6.13</v>
      </c>
      <c r="K261" s="34">
        <f>Source!O85</f>
        <v>0</v>
      </c>
      <c r="L261" s="41"/>
      <c r="S261">
        <f>ROUND((Source!FX85/100)*((ROUND(Source!AF85*Source!I85, 2)+ROUND(Source!AE85*Source!I85, 2))), 2)</f>
        <v>0</v>
      </c>
      <c r="T261">
        <f>Source!X85</f>
        <v>0</v>
      </c>
      <c r="U261">
        <f>ROUND((Source!FY85/100)*((ROUND(Source!AF85*Source!I85, 2)+ROUND(Source!AE85*Source!I85, 2))), 2)</f>
        <v>0</v>
      </c>
      <c r="V261">
        <f>Source!Y85</f>
        <v>0</v>
      </c>
      <c r="W261">
        <f>IF(Source!BI85&lt;=1,H261, 0)</f>
        <v>0</v>
      </c>
      <c r="X261">
        <f>IF(Source!BI85=2,H261, 0)</f>
        <v>0</v>
      </c>
      <c r="Y261">
        <f>IF(Source!BI85=3,H261, 0)</f>
        <v>0</v>
      </c>
      <c r="Z261">
        <f>IF(Source!BI85=4,H261, 0)</f>
        <v>0</v>
      </c>
    </row>
    <row r="262" spans="1:26" ht="15" x14ac:dyDescent="0.25">
      <c r="G262" s="61">
        <f>H253+H254+H256+H257+H258+SUM(H260:H261)</f>
        <v>3210.39</v>
      </c>
      <c r="H262" s="61"/>
      <c r="J262" s="61">
        <f>K253+K254+K256+K257+K258+SUM(K260:K261)</f>
        <v>19681.89</v>
      </c>
      <c r="K262" s="61"/>
      <c r="L262" s="37">
        <f>Source!U83</f>
        <v>18.693479999999997</v>
      </c>
      <c r="O262" s="23">
        <f>G262</f>
        <v>3210.39</v>
      </c>
      <c r="P262" s="23">
        <f>J262</f>
        <v>19681.89</v>
      </c>
      <c r="Q262" s="23">
        <f>L262</f>
        <v>18.693479999999997</v>
      </c>
      <c r="W262">
        <f>IF(Source!BI83&lt;=1,H253+H254+H256+H257+H258, 0)</f>
        <v>924.19</v>
      </c>
      <c r="X262">
        <f>IF(Source!BI83=2,H253+H254+H256+H257+H258, 0)</f>
        <v>0</v>
      </c>
      <c r="Y262">
        <f>IF(Source!BI83=3,H253+H254+H256+H257+H258, 0)</f>
        <v>0</v>
      </c>
      <c r="Z262">
        <f>IF(Source!BI83=4,H253+H254+H256+H257+H258, 0)</f>
        <v>0</v>
      </c>
    </row>
    <row r="263" spans="1:26" ht="14.25" x14ac:dyDescent="0.2">
      <c r="A263" s="42" t="str">
        <f>Source!E86</f>
        <v>22</v>
      </c>
      <c r="B263" s="43" t="str">
        <f>Source!F86</f>
        <v>09-07-030-05</v>
      </c>
      <c r="C263" s="43" t="str">
        <f>Source!G86</f>
        <v>Установка швеллера</v>
      </c>
      <c r="D263" s="26" t="str">
        <f>Source!H86</f>
        <v>т</v>
      </c>
      <c r="E263" s="10">
        <f>Source!I86</f>
        <v>0.27</v>
      </c>
      <c r="F263" s="27">
        <f>Source!AL86+Source!AM86+Source!AO86</f>
        <v>854.11999999999989</v>
      </c>
      <c r="G263" s="28"/>
      <c r="H263" s="27"/>
      <c r="I263" s="28" t="str">
        <f>Source!BO86</f>
        <v/>
      </c>
      <c r="J263" s="28"/>
      <c r="K263" s="27"/>
      <c r="L263" s="29"/>
      <c r="S263">
        <f>ROUND((Source!FX86/100)*((ROUND(Source!AF86*Source!I86, 2)+ROUND(Source!AE86*Source!I86, 2))), 2)</f>
        <v>212.84</v>
      </c>
      <c r="T263">
        <f>Source!X86</f>
        <v>1304.72</v>
      </c>
      <c r="U263">
        <f>ROUND((Source!FY86/100)*((ROUND(Source!AF86*Source!I86, 2)+ROUND(Source!AE86*Source!I86, 2))), 2)</f>
        <v>189.85</v>
      </c>
      <c r="V263">
        <f>Source!Y86</f>
        <v>1159.75</v>
      </c>
    </row>
    <row r="264" spans="1:26" ht="14.25" x14ac:dyDescent="0.2">
      <c r="A264" s="42"/>
      <c r="B264" s="43"/>
      <c r="C264" s="43" t="s">
        <v>1302</v>
      </c>
      <c r="D264" s="26"/>
      <c r="E264" s="10"/>
      <c r="F264" s="27">
        <f>Source!AO86</f>
        <v>699.3</v>
      </c>
      <c r="G264" s="28" t="str">
        <f>Source!DG86</f>
        <v>)*1,15)*1,2</v>
      </c>
      <c r="H264" s="27">
        <f>ROUND(Source!AF86*Source!I86, 2)</f>
        <v>260.56</v>
      </c>
      <c r="I264" s="28"/>
      <c r="J264" s="28">
        <f>IF(Source!BA86&lt;&gt; 0, Source!BA86, 1)</f>
        <v>6.13</v>
      </c>
      <c r="K264" s="27">
        <f>Source!S86</f>
        <v>1597.22</v>
      </c>
      <c r="L264" s="29"/>
      <c r="R264">
        <f>H264</f>
        <v>260.56</v>
      </c>
    </row>
    <row r="265" spans="1:26" ht="14.25" x14ac:dyDescent="0.2">
      <c r="A265" s="42"/>
      <c r="B265" s="43"/>
      <c r="C265" s="43" t="s">
        <v>334</v>
      </c>
      <c r="D265" s="26"/>
      <c r="E265" s="10"/>
      <c r="F265" s="27">
        <f>Source!AM86</f>
        <v>154.82</v>
      </c>
      <c r="G265" s="28" t="str">
        <f>Source!DE86</f>
        <v>)*1,25)*1,2</v>
      </c>
      <c r="H265" s="27">
        <f>ROUND(Source!AD86*Source!I86, 2)</f>
        <v>62.7</v>
      </c>
      <c r="I265" s="28"/>
      <c r="J265" s="28">
        <f>IF(Source!BB86&lt;&gt; 0, Source!BB86, 1)</f>
        <v>6.13</v>
      </c>
      <c r="K265" s="27">
        <f>Source!Q86</f>
        <v>384.38</v>
      </c>
      <c r="L265" s="29"/>
    </row>
    <row r="266" spans="1:26" ht="14.25" x14ac:dyDescent="0.2">
      <c r="A266" s="42"/>
      <c r="B266" s="43"/>
      <c r="C266" s="43" t="s">
        <v>1303</v>
      </c>
      <c r="D266" s="26"/>
      <c r="E266" s="10"/>
      <c r="F266" s="27">
        <f>Source!AN86</f>
        <v>5.45</v>
      </c>
      <c r="G266" s="28" t="str">
        <f>Source!DF86</f>
        <v>)*1,25)*1,2</v>
      </c>
      <c r="H266" s="30">
        <f>ROUND(Source!AE86*Source!I86, 2)</f>
        <v>2.21</v>
      </c>
      <c r="I266" s="28"/>
      <c r="J266" s="28">
        <f>IF(Source!BS86&lt;&gt; 0, Source!BS86, 1)</f>
        <v>6.13</v>
      </c>
      <c r="K266" s="30">
        <f>Source!R86</f>
        <v>13.54</v>
      </c>
      <c r="L266" s="29"/>
      <c r="R266">
        <f>H266</f>
        <v>2.21</v>
      </c>
    </row>
    <row r="267" spans="1:26" ht="14.25" x14ac:dyDescent="0.2">
      <c r="A267" s="42"/>
      <c r="B267" s="43"/>
      <c r="C267" s="43" t="s">
        <v>1304</v>
      </c>
      <c r="D267" s="26" t="s">
        <v>1305</v>
      </c>
      <c r="E267" s="10">
        <f>Source!BZ86</f>
        <v>90</v>
      </c>
      <c r="F267" s="50" t="str">
        <f>CONCATENATE(" )", Source!DL86, Source!FT86, "=", Source!FX86)</f>
        <v xml:space="preserve"> )*0,9=81</v>
      </c>
      <c r="G267" s="62"/>
      <c r="H267" s="27">
        <f>SUM(S263:S270)</f>
        <v>212.84</v>
      </c>
      <c r="I267" s="31"/>
      <c r="J267" s="25">
        <f>Source!AT86</f>
        <v>81</v>
      </c>
      <c r="K267" s="27">
        <f>SUM(T263:T270)</f>
        <v>1304.72</v>
      </c>
      <c r="L267" s="29"/>
    </row>
    <row r="268" spans="1:26" ht="14.25" x14ac:dyDescent="0.2">
      <c r="A268" s="42"/>
      <c r="B268" s="43"/>
      <c r="C268" s="43" t="s">
        <v>1306</v>
      </c>
      <c r="D268" s="26" t="s">
        <v>1305</v>
      </c>
      <c r="E268" s="10">
        <f>Source!CA86</f>
        <v>85</v>
      </c>
      <c r="F268" s="50" t="str">
        <f>CONCATENATE(" )", Source!DM86, Source!FU86, "=", Source!FY86)</f>
        <v xml:space="preserve"> )*0,85=72,25</v>
      </c>
      <c r="G268" s="62"/>
      <c r="H268" s="27">
        <f>SUM(U263:U270)</f>
        <v>189.85</v>
      </c>
      <c r="I268" s="31"/>
      <c r="J268" s="25">
        <f>Source!AU86</f>
        <v>72</v>
      </c>
      <c r="K268" s="27">
        <f>SUM(V263:V270)</f>
        <v>1159.75</v>
      </c>
      <c r="L268" s="29"/>
    </row>
    <row r="269" spans="1:26" ht="14.25" x14ac:dyDescent="0.2">
      <c r="A269" s="42"/>
      <c r="B269" s="43"/>
      <c r="C269" s="43" t="s">
        <v>1307</v>
      </c>
      <c r="D269" s="26" t="s">
        <v>1308</v>
      </c>
      <c r="E269" s="10">
        <f>Source!AQ86</f>
        <v>77.099999999999994</v>
      </c>
      <c r="F269" s="27"/>
      <c r="G269" s="28" t="str">
        <f>Source!DI86</f>
        <v>)*1,15)*1,2</v>
      </c>
      <c r="H269" s="27"/>
      <c r="I269" s="28"/>
      <c r="J269" s="28"/>
      <c r="K269" s="27"/>
      <c r="L269" s="38">
        <f>Source!U86</f>
        <v>28.727459999999997</v>
      </c>
    </row>
    <row r="270" spans="1:26" ht="28.5" x14ac:dyDescent="0.2">
      <c r="A270" s="44" t="str">
        <f>Source!E87</f>
        <v>22,1</v>
      </c>
      <c r="B270" s="45" t="str">
        <f>Source!F87</f>
        <v>08.3.11.01-0050</v>
      </c>
      <c r="C270" s="45" t="str">
        <f>Source!G87</f>
        <v>Швеллеры Ш - 150 (согласно тех.заданию)</v>
      </c>
      <c r="D270" s="32" t="str">
        <f>Source!H87</f>
        <v>т</v>
      </c>
      <c r="E270" s="33">
        <f>Source!I87</f>
        <v>0.27</v>
      </c>
      <c r="F270" s="34">
        <f>Source!AL87+Source!AM87+Source!AO87</f>
        <v>6780</v>
      </c>
      <c r="G270" s="40" t="s">
        <v>3</v>
      </c>
      <c r="H270" s="34">
        <f>ROUND(Source!AC87*Source!I87, 2)+ROUND(Source!AD87*Source!I87, 2)+ROUND(Source!AF87*Source!I87, 2)</f>
        <v>1830.6</v>
      </c>
      <c r="I270" s="35"/>
      <c r="J270" s="35">
        <f>IF(Source!BC87&lt;&gt; 0, Source!BC87, 1)</f>
        <v>6.13</v>
      </c>
      <c r="K270" s="34">
        <f>Source!O87</f>
        <v>11221.58</v>
      </c>
      <c r="L270" s="41"/>
      <c r="S270">
        <f>ROUND((Source!FX87/100)*((ROUND(Source!AF87*Source!I87, 2)+ROUND(Source!AE87*Source!I87, 2))), 2)</f>
        <v>0</v>
      </c>
      <c r="T270">
        <f>Source!X87</f>
        <v>0</v>
      </c>
      <c r="U270">
        <f>ROUND((Source!FY87/100)*((ROUND(Source!AF87*Source!I87, 2)+ROUND(Source!AE87*Source!I87, 2))), 2)</f>
        <v>0</v>
      </c>
      <c r="V270">
        <f>Source!Y87</f>
        <v>0</v>
      </c>
      <c r="W270">
        <f>IF(Source!BI87&lt;=1,H270, 0)</f>
        <v>1830.6</v>
      </c>
      <c r="X270">
        <f>IF(Source!BI87=2,H270, 0)</f>
        <v>0</v>
      </c>
      <c r="Y270">
        <f>IF(Source!BI87=3,H270, 0)</f>
        <v>0</v>
      </c>
      <c r="Z270">
        <f>IF(Source!BI87=4,H270, 0)</f>
        <v>0</v>
      </c>
    </row>
    <row r="271" spans="1:26" ht="15" x14ac:dyDescent="0.25">
      <c r="G271" s="61">
        <f>H264+H265+H267+H268+SUM(H270:H270)</f>
        <v>2556.5500000000002</v>
      </c>
      <c r="H271" s="61"/>
      <c r="J271" s="61">
        <f>K264+K265+K267+K268+SUM(K270:K270)</f>
        <v>15667.65</v>
      </c>
      <c r="K271" s="61"/>
      <c r="L271" s="37">
        <f>Source!U86</f>
        <v>28.727459999999997</v>
      </c>
      <c r="O271" s="23">
        <f>G271</f>
        <v>2556.5500000000002</v>
      </c>
      <c r="P271" s="23">
        <f>J271</f>
        <v>15667.65</v>
      </c>
      <c r="Q271" s="23">
        <f>L271</f>
        <v>28.727459999999997</v>
      </c>
      <c r="W271">
        <f>IF(Source!BI86&lt;=1,H264+H265+H267+H268, 0)</f>
        <v>725.95</v>
      </c>
      <c r="X271">
        <f>IF(Source!BI86=2,H264+H265+H267+H268, 0)</f>
        <v>0</v>
      </c>
      <c r="Y271">
        <f>IF(Source!BI86=3,H264+H265+H267+H268, 0)</f>
        <v>0</v>
      </c>
      <c r="Z271">
        <f>IF(Source!BI86=4,H264+H265+H267+H268, 0)</f>
        <v>0</v>
      </c>
    </row>
    <row r="272" spans="1:26" ht="14.25" x14ac:dyDescent="0.2">
      <c r="A272" s="42" t="str">
        <f>Source!E88</f>
        <v>23</v>
      </c>
      <c r="B272" s="43" t="str">
        <f>Source!F88</f>
        <v>11-01-012-03</v>
      </c>
      <c r="C272" s="43" t="str">
        <f>Source!G88</f>
        <v>Укладка лаг по плитам перекрытий</v>
      </c>
      <c r="D272" s="26" t="str">
        <f>Source!H88</f>
        <v>100 м2</v>
      </c>
      <c r="E272" s="10">
        <f>Source!I88</f>
        <v>3.5000000000000003E-2</v>
      </c>
      <c r="F272" s="27">
        <f>Source!AL88+Source!AM88+Source!AO88</f>
        <v>2062.88</v>
      </c>
      <c r="G272" s="28"/>
      <c r="H272" s="27"/>
      <c r="I272" s="28" t="str">
        <f>Source!BO88</f>
        <v/>
      </c>
      <c r="J272" s="28"/>
      <c r="K272" s="27"/>
      <c r="L272" s="29"/>
      <c r="S272">
        <f>ROUND((Source!FX88/100)*((ROUND(Source!AF88*Source!I88, 2)+ROUND(Source!AE88*Source!I88, 2))), 2)</f>
        <v>16.62</v>
      </c>
      <c r="T272">
        <f>Source!X88</f>
        <v>102.14</v>
      </c>
      <c r="U272">
        <f>ROUND((Source!FY88/100)*((ROUND(Source!AF88*Source!I88, 2)+ROUND(Source!AE88*Source!I88, 2))), 2)</f>
        <v>9.57</v>
      </c>
      <c r="V272">
        <f>Source!Y88</f>
        <v>58.89</v>
      </c>
    </row>
    <row r="273" spans="1:26" x14ac:dyDescent="0.2">
      <c r="C273" s="22" t="str">
        <f>"Объем: "&amp;Source!I88&amp;"=3,5/"&amp;"100"</f>
        <v>Объем: 0,035=3,5/100</v>
      </c>
    </row>
    <row r="274" spans="1:26" ht="14.25" x14ac:dyDescent="0.2">
      <c r="A274" s="42"/>
      <c r="B274" s="43"/>
      <c r="C274" s="43" t="s">
        <v>1302</v>
      </c>
      <c r="D274" s="26"/>
      <c r="E274" s="10"/>
      <c r="F274" s="27">
        <f>Source!AO88</f>
        <v>304.86</v>
      </c>
      <c r="G274" s="28" t="str">
        <f>Source!DG88</f>
        <v>)*1,15)*1,2</v>
      </c>
      <c r="H274" s="27">
        <f>ROUND(Source!AF88*Source!I88, 2)</f>
        <v>14.72</v>
      </c>
      <c r="I274" s="28"/>
      <c r="J274" s="28">
        <f>IF(Source!BA88&lt;&gt; 0, Source!BA88, 1)</f>
        <v>6.13</v>
      </c>
      <c r="K274" s="27">
        <f>Source!S88</f>
        <v>90.26</v>
      </c>
      <c r="L274" s="29"/>
      <c r="R274">
        <f>H274</f>
        <v>14.72</v>
      </c>
    </row>
    <row r="275" spans="1:26" ht="14.25" x14ac:dyDescent="0.2">
      <c r="A275" s="42"/>
      <c r="B275" s="43"/>
      <c r="C275" s="43" t="s">
        <v>334</v>
      </c>
      <c r="D275" s="26"/>
      <c r="E275" s="10"/>
      <c r="F275" s="27">
        <f>Source!AM88</f>
        <v>22.71</v>
      </c>
      <c r="G275" s="28" t="str">
        <f>Source!DE88</f>
        <v>)*1,25)*1,2</v>
      </c>
      <c r="H275" s="27">
        <f>ROUND(Source!AD88*Source!I88, 2)</f>
        <v>1.19</v>
      </c>
      <c r="I275" s="28"/>
      <c r="J275" s="28">
        <f>IF(Source!BB88&lt;&gt; 0, Source!BB88, 1)</f>
        <v>6.13</v>
      </c>
      <c r="K275" s="27">
        <f>Source!Q88</f>
        <v>7.31</v>
      </c>
      <c r="L275" s="29"/>
    </row>
    <row r="276" spans="1:26" ht="14.25" x14ac:dyDescent="0.2">
      <c r="A276" s="42"/>
      <c r="B276" s="43"/>
      <c r="C276" s="43" t="s">
        <v>1303</v>
      </c>
      <c r="D276" s="26"/>
      <c r="E276" s="10"/>
      <c r="F276" s="27">
        <f>Source!AN88</f>
        <v>5.45</v>
      </c>
      <c r="G276" s="28" t="str">
        <f>Source!DF88</f>
        <v>)*1,25)*1,2</v>
      </c>
      <c r="H276" s="30">
        <f>ROUND(Source!AE88*Source!I88, 2)</f>
        <v>0.28999999999999998</v>
      </c>
      <c r="I276" s="28"/>
      <c r="J276" s="28">
        <f>IF(Source!BS88&lt;&gt; 0, Source!BS88, 1)</f>
        <v>6.13</v>
      </c>
      <c r="K276" s="30">
        <f>Source!R88</f>
        <v>1.76</v>
      </c>
      <c r="L276" s="29"/>
      <c r="R276">
        <f>H276</f>
        <v>0.28999999999999998</v>
      </c>
    </row>
    <row r="277" spans="1:26" ht="14.25" x14ac:dyDescent="0.2">
      <c r="A277" s="42"/>
      <c r="B277" s="43"/>
      <c r="C277" s="43" t="s">
        <v>1309</v>
      </c>
      <c r="D277" s="26"/>
      <c r="E277" s="10"/>
      <c r="F277" s="27">
        <f>Source!AL88</f>
        <v>1735.31</v>
      </c>
      <c r="G277" s="28" t="str">
        <f>Source!DD88</f>
        <v/>
      </c>
      <c r="H277" s="27">
        <f>ROUND(Source!AC88*Source!I88, 2)</f>
        <v>60.74</v>
      </c>
      <c r="I277" s="28"/>
      <c r="J277" s="28">
        <f>IF(Source!BC88&lt;&gt; 0, Source!BC88, 1)</f>
        <v>6.13</v>
      </c>
      <c r="K277" s="27">
        <f>Source!P88</f>
        <v>372.31</v>
      </c>
      <c r="L277" s="29"/>
    </row>
    <row r="278" spans="1:26" ht="14.25" x14ac:dyDescent="0.2">
      <c r="A278" s="42"/>
      <c r="B278" s="43"/>
      <c r="C278" s="43" t="s">
        <v>1304</v>
      </c>
      <c r="D278" s="26" t="s">
        <v>1305</v>
      </c>
      <c r="E278" s="10">
        <f>Source!BZ88</f>
        <v>123</v>
      </c>
      <c r="F278" s="50" t="str">
        <f>CONCATENATE(" )", Source!DL88, Source!FT88, "=", Source!FX88)</f>
        <v xml:space="preserve"> )*0,9=110,7</v>
      </c>
      <c r="G278" s="62"/>
      <c r="H278" s="27">
        <f>SUM(S272:S280)</f>
        <v>16.62</v>
      </c>
      <c r="I278" s="31"/>
      <c r="J278" s="25">
        <f>Source!AT88</f>
        <v>111</v>
      </c>
      <c r="K278" s="27">
        <f>SUM(T272:T280)</f>
        <v>102.14</v>
      </c>
      <c r="L278" s="29"/>
    </row>
    <row r="279" spans="1:26" ht="14.25" x14ac:dyDescent="0.2">
      <c r="A279" s="42"/>
      <c r="B279" s="43"/>
      <c r="C279" s="43" t="s">
        <v>1306</v>
      </c>
      <c r="D279" s="26" t="s">
        <v>1305</v>
      </c>
      <c r="E279" s="10">
        <f>Source!CA88</f>
        <v>75</v>
      </c>
      <c r="F279" s="50" t="str">
        <f>CONCATENATE(" )", Source!DM88, Source!FU88, "=", Source!FY88)</f>
        <v xml:space="preserve"> )*0,85=63,75</v>
      </c>
      <c r="G279" s="62"/>
      <c r="H279" s="27">
        <f>SUM(U272:U280)</f>
        <v>9.57</v>
      </c>
      <c r="I279" s="31"/>
      <c r="J279" s="25">
        <f>Source!AU88</f>
        <v>64</v>
      </c>
      <c r="K279" s="27">
        <f>SUM(V272:V280)</f>
        <v>58.89</v>
      </c>
      <c r="L279" s="29"/>
    </row>
    <row r="280" spans="1:26" ht="14.25" x14ac:dyDescent="0.2">
      <c r="A280" s="44"/>
      <c r="B280" s="45"/>
      <c r="C280" s="45" t="s">
        <v>1307</v>
      </c>
      <c r="D280" s="32" t="s">
        <v>1308</v>
      </c>
      <c r="E280" s="33">
        <f>Source!AQ88</f>
        <v>35.74</v>
      </c>
      <c r="F280" s="34"/>
      <c r="G280" s="35" t="str">
        <f>Source!DI88</f>
        <v>)*1,15)*1,2</v>
      </c>
      <c r="H280" s="34"/>
      <c r="I280" s="35"/>
      <c r="J280" s="35"/>
      <c r="K280" s="34"/>
      <c r="L280" s="36">
        <f>Source!U88</f>
        <v>1.7262420000000001</v>
      </c>
    </row>
    <row r="281" spans="1:26" ht="15" x14ac:dyDescent="0.25">
      <c r="G281" s="61">
        <f>H274+H275+H277+H278+H279</f>
        <v>102.84</v>
      </c>
      <c r="H281" s="61"/>
      <c r="J281" s="61">
        <f>K274+K275+K277+K278+K279</f>
        <v>630.91</v>
      </c>
      <c r="K281" s="61"/>
      <c r="L281" s="37">
        <f>Source!U88</f>
        <v>1.7262420000000001</v>
      </c>
      <c r="O281" s="23">
        <f>G281</f>
        <v>102.84</v>
      </c>
      <c r="P281" s="23">
        <f>J281</f>
        <v>630.91</v>
      </c>
      <c r="Q281" s="23">
        <f>L281</f>
        <v>1.7262420000000001</v>
      </c>
      <c r="W281">
        <f>IF(Source!BI88&lt;=1,H274+H275+H277+H278+H279, 0)</f>
        <v>102.84</v>
      </c>
      <c r="X281">
        <f>IF(Source!BI88=2,H274+H275+H277+H278+H279, 0)</f>
        <v>0</v>
      </c>
      <c r="Y281">
        <f>IF(Source!BI88=3,H274+H275+H277+H278+H279, 0)</f>
        <v>0</v>
      </c>
      <c r="Z281">
        <f>IF(Source!BI88=4,H274+H275+H277+H278+H279, 0)</f>
        <v>0</v>
      </c>
    </row>
    <row r="282" spans="1:26" ht="28.5" x14ac:dyDescent="0.2">
      <c r="A282" s="42" t="str">
        <f>Source!E89</f>
        <v>24</v>
      </c>
      <c r="B282" s="43" t="str">
        <f>Source!F89</f>
        <v>11-01-033-02</v>
      </c>
      <c r="C282" s="43" t="str">
        <f>Source!G89</f>
        <v>Устройство покрытий дощатых толщиной 40 мм</v>
      </c>
      <c r="D282" s="26" t="str">
        <f>Source!H89</f>
        <v>100 м2</v>
      </c>
      <c r="E282" s="10">
        <f>Source!I89</f>
        <v>6.7000000000000004E-2</v>
      </c>
      <c r="F282" s="27">
        <f>Source!AL89+Source!AM89+Source!AO89</f>
        <v>984.54</v>
      </c>
      <c r="G282" s="28"/>
      <c r="H282" s="27"/>
      <c r="I282" s="28" t="str">
        <f>Source!BO89</f>
        <v/>
      </c>
      <c r="J282" s="28"/>
      <c r="K282" s="27"/>
      <c r="L282" s="29"/>
      <c r="S282">
        <f>ROUND((Source!FX89/100)*((ROUND(Source!AF89*Source!I89, 2)+ROUND(Source!AE89*Source!I89, 2))), 2)</f>
        <v>43.91</v>
      </c>
      <c r="T282">
        <f>Source!X89</f>
        <v>269.91000000000003</v>
      </c>
      <c r="U282">
        <f>ROUND((Source!FY89/100)*((ROUND(Source!AF89*Source!I89, 2)+ROUND(Source!AE89*Source!I89, 2))), 2)</f>
        <v>25.29</v>
      </c>
      <c r="V282">
        <f>Source!Y89</f>
        <v>155.62</v>
      </c>
    </row>
    <row r="283" spans="1:26" x14ac:dyDescent="0.2">
      <c r="C283" s="22" t="str">
        <f>"Объем: "&amp;Source!I89&amp;"=6,7/"&amp;"100"</f>
        <v>Объем: 0,067=6,7/100</v>
      </c>
    </row>
    <row r="284" spans="1:26" ht="14.25" x14ac:dyDescent="0.2">
      <c r="A284" s="42"/>
      <c r="B284" s="43"/>
      <c r="C284" s="43" t="s">
        <v>1302</v>
      </c>
      <c r="D284" s="26"/>
      <c r="E284" s="10"/>
      <c r="F284" s="27">
        <f>Source!AO89</f>
        <v>569.04</v>
      </c>
      <c r="G284" s="28" t="str">
        <f>Source!DG89</f>
        <v/>
      </c>
      <c r="H284" s="27">
        <f>ROUND(Source!AF89*Source!I89, 2)</f>
        <v>38.130000000000003</v>
      </c>
      <c r="I284" s="28"/>
      <c r="J284" s="28">
        <f>IF(Source!BA89&lt;&gt; 0, Source!BA89, 1)</f>
        <v>6.13</v>
      </c>
      <c r="K284" s="27">
        <f>Source!S89</f>
        <v>233.71</v>
      </c>
      <c r="L284" s="29"/>
      <c r="R284">
        <f>H284</f>
        <v>38.130000000000003</v>
      </c>
    </row>
    <row r="285" spans="1:26" ht="14.25" x14ac:dyDescent="0.2">
      <c r="A285" s="42"/>
      <c r="B285" s="43"/>
      <c r="C285" s="43" t="s">
        <v>334</v>
      </c>
      <c r="D285" s="26"/>
      <c r="E285" s="10"/>
      <c r="F285" s="27">
        <f>Source!AM89</f>
        <v>101.68</v>
      </c>
      <c r="G285" s="28" t="str">
        <f>Source!DE89</f>
        <v/>
      </c>
      <c r="H285" s="27">
        <f>ROUND(Source!AD89*Source!I89, 2)</f>
        <v>6.81</v>
      </c>
      <c r="I285" s="28"/>
      <c r="J285" s="28">
        <f>IF(Source!BB89&lt;&gt; 0, Source!BB89, 1)</f>
        <v>6.13</v>
      </c>
      <c r="K285" s="27">
        <f>Source!Q89</f>
        <v>41.76</v>
      </c>
      <c r="L285" s="29"/>
    </row>
    <row r="286" spans="1:26" ht="14.25" x14ac:dyDescent="0.2">
      <c r="A286" s="42"/>
      <c r="B286" s="43"/>
      <c r="C286" s="43" t="s">
        <v>1303</v>
      </c>
      <c r="D286" s="26"/>
      <c r="E286" s="10"/>
      <c r="F286" s="27">
        <f>Source!AN89</f>
        <v>23.02</v>
      </c>
      <c r="G286" s="28" t="str">
        <f>Source!DF89</f>
        <v/>
      </c>
      <c r="H286" s="30">
        <f>ROUND(Source!AE89*Source!I89, 2)</f>
        <v>1.54</v>
      </c>
      <c r="I286" s="28"/>
      <c r="J286" s="28">
        <f>IF(Source!BS89&lt;&gt; 0, Source!BS89, 1)</f>
        <v>6.13</v>
      </c>
      <c r="K286" s="30">
        <f>Source!R89</f>
        <v>9.4499999999999993</v>
      </c>
      <c r="L286" s="29"/>
      <c r="R286">
        <f>H286</f>
        <v>1.54</v>
      </c>
    </row>
    <row r="287" spans="1:26" ht="14.25" x14ac:dyDescent="0.2">
      <c r="A287" s="42"/>
      <c r="B287" s="43"/>
      <c r="C287" s="43" t="s">
        <v>1309</v>
      </c>
      <c r="D287" s="26"/>
      <c r="E287" s="10"/>
      <c r="F287" s="27">
        <f>Source!AL89</f>
        <v>313.82</v>
      </c>
      <c r="G287" s="28" t="str">
        <f>Source!DD89</f>
        <v/>
      </c>
      <c r="H287" s="27">
        <f>ROUND(Source!AC89*Source!I89, 2)</f>
        <v>21.03</v>
      </c>
      <c r="I287" s="28"/>
      <c r="J287" s="28">
        <f>IF(Source!BC89&lt;&gt; 0, Source!BC89, 1)</f>
        <v>6.13</v>
      </c>
      <c r="K287" s="27">
        <f>Source!P89</f>
        <v>128.88999999999999</v>
      </c>
      <c r="L287" s="29"/>
    </row>
    <row r="288" spans="1:26" ht="14.25" x14ac:dyDescent="0.2">
      <c r="A288" s="42"/>
      <c r="B288" s="43"/>
      <c r="C288" s="43" t="s">
        <v>1304</v>
      </c>
      <c r="D288" s="26" t="s">
        <v>1305</v>
      </c>
      <c r="E288" s="10">
        <f>Source!BZ89</f>
        <v>123</v>
      </c>
      <c r="F288" s="50" t="str">
        <f>CONCATENATE(" )", Source!DL89, Source!FT89, "=", Source!FX89)</f>
        <v xml:space="preserve"> )*0,9=110,7</v>
      </c>
      <c r="G288" s="62"/>
      <c r="H288" s="27">
        <f>SUM(S282:S291)</f>
        <v>43.91</v>
      </c>
      <c r="I288" s="31"/>
      <c r="J288" s="25">
        <f>Source!AT89</f>
        <v>111</v>
      </c>
      <c r="K288" s="27">
        <f>SUM(T282:T291)</f>
        <v>269.91000000000003</v>
      </c>
      <c r="L288" s="29"/>
    </row>
    <row r="289" spans="1:26" ht="14.25" x14ac:dyDescent="0.2">
      <c r="A289" s="42"/>
      <c r="B289" s="43"/>
      <c r="C289" s="43" t="s">
        <v>1306</v>
      </c>
      <c r="D289" s="26" t="s">
        <v>1305</v>
      </c>
      <c r="E289" s="10">
        <f>Source!CA89</f>
        <v>75</v>
      </c>
      <c r="F289" s="50" t="str">
        <f>CONCATENATE(" )", Source!DM89, Source!FU89, "=", Source!FY89)</f>
        <v xml:space="preserve"> )*0,85=63,75</v>
      </c>
      <c r="G289" s="62"/>
      <c r="H289" s="27">
        <f>SUM(U282:U291)</f>
        <v>25.29</v>
      </c>
      <c r="I289" s="31"/>
      <c r="J289" s="25">
        <f>Source!AU89</f>
        <v>64</v>
      </c>
      <c r="K289" s="27">
        <f>SUM(V282:V291)</f>
        <v>155.62</v>
      </c>
      <c r="L289" s="29"/>
    </row>
    <row r="290" spans="1:26" ht="14.25" x14ac:dyDescent="0.2">
      <c r="A290" s="42"/>
      <c r="B290" s="43"/>
      <c r="C290" s="43" t="s">
        <v>1307</v>
      </c>
      <c r="D290" s="26" t="s">
        <v>1308</v>
      </c>
      <c r="E290" s="10">
        <f>Source!AQ89</f>
        <v>66.709999999999994</v>
      </c>
      <c r="F290" s="27"/>
      <c r="G290" s="28" t="str">
        <f>Source!DI89</f>
        <v/>
      </c>
      <c r="H290" s="27"/>
      <c r="I290" s="28"/>
      <c r="J290" s="28"/>
      <c r="K290" s="27"/>
      <c r="L290" s="38">
        <f>Source!U89</f>
        <v>4.46957</v>
      </c>
    </row>
    <row r="291" spans="1:26" ht="42.75" x14ac:dyDescent="0.2">
      <c r="A291" s="44" t="str">
        <f>Source!E90</f>
        <v>24,1</v>
      </c>
      <c r="B291" s="45" t="str">
        <f>Source!F90</f>
        <v>11.1.03.06-0075</v>
      </c>
      <c r="C291" s="45" t="str">
        <f>Source!G90</f>
        <v>Доски обрезные хвойных пород длиной 2-3,75 м, шириной 75-150 мм, толщиной 32-40 мм, III сорта</v>
      </c>
      <c r="D291" s="32" t="str">
        <f>Source!H90</f>
        <v>м3</v>
      </c>
      <c r="E291" s="33">
        <f>Source!I90</f>
        <v>0.26800000000000002</v>
      </c>
      <c r="F291" s="34">
        <f>Source!AL90+Source!AM90+Source!AO90</f>
        <v>1100</v>
      </c>
      <c r="G291" s="40" t="s">
        <v>3</v>
      </c>
      <c r="H291" s="34">
        <f>ROUND(Source!AC90*Source!I90, 2)+ROUND(Source!AD90*Source!I90, 2)+ROUND(Source!AF90*Source!I90, 2)</f>
        <v>294.8</v>
      </c>
      <c r="I291" s="35"/>
      <c r="J291" s="35">
        <f>IF(Source!BC90&lt;&gt; 0, Source!BC90, 1)</f>
        <v>6.13</v>
      </c>
      <c r="K291" s="34">
        <f>Source!O90</f>
        <v>1807.12</v>
      </c>
      <c r="L291" s="41"/>
      <c r="S291">
        <f>ROUND((Source!FX90/100)*((ROUND(Source!AF90*Source!I90, 2)+ROUND(Source!AE90*Source!I90, 2))), 2)</f>
        <v>0</v>
      </c>
      <c r="T291">
        <f>Source!X90</f>
        <v>0</v>
      </c>
      <c r="U291">
        <f>ROUND((Source!FY90/100)*((ROUND(Source!AF90*Source!I90, 2)+ROUND(Source!AE90*Source!I90, 2))), 2)</f>
        <v>0</v>
      </c>
      <c r="V291">
        <f>Source!Y90</f>
        <v>0</v>
      </c>
      <c r="W291">
        <f>IF(Source!BI90&lt;=1,H291, 0)</f>
        <v>294.8</v>
      </c>
      <c r="X291">
        <f>IF(Source!BI90=2,H291, 0)</f>
        <v>0</v>
      </c>
      <c r="Y291">
        <f>IF(Source!BI90=3,H291, 0)</f>
        <v>0</v>
      </c>
      <c r="Z291">
        <f>IF(Source!BI90=4,H291, 0)</f>
        <v>0</v>
      </c>
    </row>
    <row r="292" spans="1:26" ht="15" x14ac:dyDescent="0.25">
      <c r="G292" s="61">
        <f>H284+H285+H287+H288+H289+SUM(H291:H291)</f>
        <v>429.97</v>
      </c>
      <c r="H292" s="61"/>
      <c r="J292" s="61">
        <f>K284+K285+K287+K288+K289+SUM(K291:K291)</f>
        <v>2637.0099999999998</v>
      </c>
      <c r="K292" s="61"/>
      <c r="L292" s="37">
        <f>Source!U89</f>
        <v>4.46957</v>
      </c>
      <c r="O292" s="23">
        <f>G292</f>
        <v>429.97</v>
      </c>
      <c r="P292" s="23">
        <f>J292</f>
        <v>2637.0099999999998</v>
      </c>
      <c r="Q292" s="23">
        <f>L292</f>
        <v>4.46957</v>
      </c>
      <c r="W292">
        <f>IF(Source!BI89&lt;=1,H284+H285+H287+H288+H289, 0)</f>
        <v>135.16999999999999</v>
      </c>
      <c r="X292">
        <f>IF(Source!BI89=2,H284+H285+H287+H288+H289, 0)</f>
        <v>0</v>
      </c>
      <c r="Y292">
        <f>IF(Source!BI89=3,H284+H285+H287+H288+H289, 0)</f>
        <v>0</v>
      </c>
      <c r="Z292">
        <f>IF(Source!BI89=4,H284+H285+H287+H288+H289, 0)</f>
        <v>0</v>
      </c>
    </row>
    <row r="293" spans="1:26" ht="42.75" x14ac:dyDescent="0.2">
      <c r="A293" s="42" t="str">
        <f>Source!E91</f>
        <v>25</v>
      </c>
      <c r="B293" s="43" t="str">
        <f>Source!F91</f>
        <v>11-01-053-01</v>
      </c>
      <c r="C293" s="43" t="str">
        <f>Source!G91</f>
        <v>Устройство оснований полов из фанеры в один слой площадью до 20 м2</v>
      </c>
      <c r="D293" s="26" t="str">
        <f>Source!H91</f>
        <v>100 м2</v>
      </c>
      <c r="E293" s="10">
        <f>Source!I91</f>
        <v>6.7000000000000004E-2</v>
      </c>
      <c r="F293" s="27">
        <f>Source!AL91+Source!AM91+Source!AO91</f>
        <v>6295.94</v>
      </c>
      <c r="G293" s="28"/>
      <c r="H293" s="27"/>
      <c r="I293" s="28" t="str">
        <f>Source!BO91</f>
        <v/>
      </c>
      <c r="J293" s="28"/>
      <c r="K293" s="27"/>
      <c r="L293" s="29"/>
      <c r="S293">
        <f>ROUND((Source!FX91/100)*((ROUND(Source!AF91*Source!I91, 2)+ROUND(Source!AE91*Source!I91, 2))), 2)</f>
        <v>39.9</v>
      </c>
      <c r="T293">
        <f>Source!X91</f>
        <v>245.23</v>
      </c>
      <c r="U293">
        <f>ROUND((Source!FY91/100)*((ROUND(Source!AF91*Source!I91, 2)+ROUND(Source!AE91*Source!I91, 2))), 2)</f>
        <v>22.98</v>
      </c>
      <c r="V293">
        <f>Source!Y91</f>
        <v>141.4</v>
      </c>
    </row>
    <row r="294" spans="1:26" x14ac:dyDescent="0.2">
      <c r="C294" s="22" t="str">
        <f>"Объем: "&amp;Source!I91&amp;"=6,7/"&amp;"100"</f>
        <v>Объем: 0,067=6,7/100</v>
      </c>
    </row>
    <row r="295" spans="1:26" ht="14.25" x14ac:dyDescent="0.2">
      <c r="A295" s="42"/>
      <c r="B295" s="43"/>
      <c r="C295" s="43" t="s">
        <v>1302</v>
      </c>
      <c r="D295" s="26"/>
      <c r="E295" s="10"/>
      <c r="F295" s="27">
        <f>Source!AO91</f>
        <v>310.20999999999998</v>
      </c>
      <c r="G295" s="28" t="str">
        <f>Source!DG91</f>
        <v>)*1,15)*1,2</v>
      </c>
      <c r="H295" s="27">
        <f>ROUND(Source!AF91*Source!I91, 2)</f>
        <v>28.68</v>
      </c>
      <c r="I295" s="28"/>
      <c r="J295" s="28">
        <f>IF(Source!BA91&lt;&gt; 0, Source!BA91, 1)</f>
        <v>6.13</v>
      </c>
      <c r="K295" s="27">
        <f>Source!S91</f>
        <v>175.82</v>
      </c>
      <c r="L295" s="29"/>
      <c r="R295">
        <f>H295</f>
        <v>28.68</v>
      </c>
    </row>
    <row r="296" spans="1:26" ht="14.25" x14ac:dyDescent="0.2">
      <c r="A296" s="42"/>
      <c r="B296" s="43"/>
      <c r="C296" s="43" t="s">
        <v>334</v>
      </c>
      <c r="D296" s="26"/>
      <c r="E296" s="10"/>
      <c r="F296" s="27">
        <f>Source!AM91</f>
        <v>630.05999999999995</v>
      </c>
      <c r="G296" s="28" t="str">
        <f>Source!DE91</f>
        <v>)*1,25)*1,2</v>
      </c>
      <c r="H296" s="27">
        <f>ROUND(Source!AD91*Source!I91, 2)</f>
        <v>63.32</v>
      </c>
      <c r="I296" s="28"/>
      <c r="J296" s="28">
        <f>IF(Source!BB91&lt;&gt; 0, Source!BB91, 1)</f>
        <v>6.13</v>
      </c>
      <c r="K296" s="27">
        <f>Source!Q91</f>
        <v>388.16</v>
      </c>
      <c r="L296" s="29"/>
    </row>
    <row r="297" spans="1:26" ht="14.25" x14ac:dyDescent="0.2">
      <c r="A297" s="42"/>
      <c r="B297" s="43"/>
      <c r="C297" s="43" t="s">
        <v>1303</v>
      </c>
      <c r="D297" s="26"/>
      <c r="E297" s="10"/>
      <c r="F297" s="27">
        <f>Source!AN91</f>
        <v>73.22</v>
      </c>
      <c r="G297" s="28" t="str">
        <f>Source!DF91</f>
        <v>)*1,25)*1,2</v>
      </c>
      <c r="H297" s="30">
        <f>ROUND(Source!AE91*Source!I91, 2)</f>
        <v>7.36</v>
      </c>
      <c r="I297" s="28"/>
      <c r="J297" s="28">
        <f>IF(Source!BS91&lt;&gt; 0, Source!BS91, 1)</f>
        <v>6.13</v>
      </c>
      <c r="K297" s="30">
        <f>Source!R91</f>
        <v>45.11</v>
      </c>
      <c r="L297" s="29"/>
      <c r="R297">
        <f>H297</f>
        <v>7.36</v>
      </c>
    </row>
    <row r="298" spans="1:26" ht="14.25" x14ac:dyDescent="0.2">
      <c r="A298" s="42"/>
      <c r="B298" s="43"/>
      <c r="C298" s="43" t="s">
        <v>1309</v>
      </c>
      <c r="D298" s="26"/>
      <c r="E298" s="10"/>
      <c r="F298" s="27">
        <f>Source!AL91</f>
        <v>5355.67</v>
      </c>
      <c r="G298" s="28" t="str">
        <f>Source!DD91</f>
        <v/>
      </c>
      <c r="H298" s="27">
        <f>ROUND(Source!AC91*Source!I91, 2)</f>
        <v>358.83</v>
      </c>
      <c r="I298" s="28"/>
      <c r="J298" s="28">
        <f>IF(Source!BC91&lt;&gt; 0, Source!BC91, 1)</f>
        <v>6.13</v>
      </c>
      <c r="K298" s="27">
        <f>Source!P91</f>
        <v>2199.63</v>
      </c>
      <c r="L298" s="29"/>
    </row>
    <row r="299" spans="1:26" ht="14.25" x14ac:dyDescent="0.2">
      <c r="A299" s="42"/>
      <c r="B299" s="43"/>
      <c r="C299" s="43" t="s">
        <v>1304</v>
      </c>
      <c r="D299" s="26" t="s">
        <v>1305</v>
      </c>
      <c r="E299" s="10">
        <f>Source!BZ91</f>
        <v>123</v>
      </c>
      <c r="F299" s="50" t="str">
        <f>CONCATENATE(" )", Source!DL91, Source!FT91, "=", Source!FX91)</f>
        <v xml:space="preserve"> )*0,9=110,7</v>
      </c>
      <c r="G299" s="62"/>
      <c r="H299" s="27">
        <f>SUM(S293:S301)</f>
        <v>39.9</v>
      </c>
      <c r="I299" s="31"/>
      <c r="J299" s="25">
        <f>Source!AT91</f>
        <v>111</v>
      </c>
      <c r="K299" s="27">
        <f>SUM(T293:T301)</f>
        <v>245.23</v>
      </c>
      <c r="L299" s="29"/>
    </row>
    <row r="300" spans="1:26" ht="14.25" x14ac:dyDescent="0.2">
      <c r="A300" s="42"/>
      <c r="B300" s="43"/>
      <c r="C300" s="43" t="s">
        <v>1306</v>
      </c>
      <c r="D300" s="26" t="s">
        <v>1305</v>
      </c>
      <c r="E300" s="10">
        <f>Source!CA91</f>
        <v>75</v>
      </c>
      <c r="F300" s="50" t="str">
        <f>CONCATENATE(" )", Source!DM91, Source!FU91, "=", Source!FY91)</f>
        <v xml:space="preserve"> )*0,85=63,75</v>
      </c>
      <c r="G300" s="62"/>
      <c r="H300" s="27">
        <f>SUM(U293:U301)</f>
        <v>22.98</v>
      </c>
      <c r="I300" s="31"/>
      <c r="J300" s="25">
        <f>Source!AU91</f>
        <v>64</v>
      </c>
      <c r="K300" s="27">
        <f>SUM(V293:V301)</f>
        <v>141.4</v>
      </c>
      <c r="L300" s="29"/>
    </row>
    <row r="301" spans="1:26" ht="14.25" x14ac:dyDescent="0.2">
      <c r="A301" s="44"/>
      <c r="B301" s="45"/>
      <c r="C301" s="45" t="s">
        <v>1307</v>
      </c>
      <c r="D301" s="32" t="s">
        <v>1308</v>
      </c>
      <c r="E301" s="33">
        <f>Source!AQ91</f>
        <v>37.97</v>
      </c>
      <c r="F301" s="34"/>
      <c r="G301" s="35" t="str">
        <f>Source!DI91</f>
        <v>)*1,15)*1,2</v>
      </c>
      <c r="H301" s="34"/>
      <c r="I301" s="35"/>
      <c r="J301" s="35"/>
      <c r="K301" s="34"/>
      <c r="L301" s="36">
        <f>Source!U91</f>
        <v>3.5107062</v>
      </c>
    </row>
    <row r="302" spans="1:26" ht="15" x14ac:dyDescent="0.25">
      <c r="G302" s="61">
        <f>H295+H296+H298+H299+H300</f>
        <v>513.70999999999992</v>
      </c>
      <c r="H302" s="61"/>
      <c r="J302" s="61">
        <f>K295+K296+K298+K299+K300</f>
        <v>3150.2400000000002</v>
      </c>
      <c r="K302" s="61"/>
      <c r="L302" s="37">
        <f>Source!U91</f>
        <v>3.5107062</v>
      </c>
      <c r="O302" s="23">
        <f>G302</f>
        <v>513.70999999999992</v>
      </c>
      <c r="P302" s="23">
        <f>J302</f>
        <v>3150.2400000000002</v>
      </c>
      <c r="Q302" s="23">
        <f>L302</f>
        <v>3.5107062</v>
      </c>
      <c r="W302">
        <f>IF(Source!BI91&lt;=1,H295+H296+H298+H299+H300, 0)</f>
        <v>513.70999999999992</v>
      </c>
      <c r="X302">
        <f>IF(Source!BI91=2,H295+H296+H298+H299+H300, 0)</f>
        <v>0</v>
      </c>
      <c r="Y302">
        <f>IF(Source!BI91=3,H295+H296+H298+H299+H300, 0)</f>
        <v>0</v>
      </c>
      <c r="Z302">
        <f>IF(Source!BI91=4,H295+H296+H298+H299+H300, 0)</f>
        <v>0</v>
      </c>
    </row>
    <row r="303" spans="1:26" ht="28.5" x14ac:dyDescent="0.2">
      <c r="A303" s="42" t="str">
        <f>Source!E92</f>
        <v>26</v>
      </c>
      <c r="B303" s="43" t="str">
        <f>Source!F92</f>
        <v>11-01-036-01</v>
      </c>
      <c r="C303" s="43" t="str">
        <f>Source!G92</f>
        <v>Устройство покрытий из линолеума на клее</v>
      </c>
      <c r="D303" s="26" t="str">
        <f>Source!H92</f>
        <v>100 м2</v>
      </c>
      <c r="E303" s="10">
        <f>Source!I92</f>
        <v>0.156</v>
      </c>
      <c r="F303" s="27">
        <f>Source!AL92+Source!AM92+Source!AO92</f>
        <v>397.04999999999995</v>
      </c>
      <c r="G303" s="28"/>
      <c r="H303" s="27"/>
      <c r="I303" s="28" t="str">
        <f>Source!BO92</f>
        <v/>
      </c>
      <c r="J303" s="28"/>
      <c r="K303" s="27"/>
      <c r="L303" s="29"/>
      <c r="S303">
        <f>ROUND((Source!FX92/100)*((ROUND(Source!AF92*Source!I92, 2)+ROUND(Source!AE92*Source!I92, 2))), 2)</f>
        <v>86.69</v>
      </c>
      <c r="T303">
        <f>Source!X92</f>
        <v>532.89</v>
      </c>
      <c r="U303">
        <f>ROUND((Source!FY92/100)*((ROUND(Source!AF92*Source!I92, 2)+ROUND(Source!AE92*Source!I92, 2))), 2)</f>
        <v>49.92</v>
      </c>
      <c r="V303">
        <f>Source!Y92</f>
        <v>307.25</v>
      </c>
    </row>
    <row r="304" spans="1:26" x14ac:dyDescent="0.2">
      <c r="C304" s="22" t="str">
        <f>"Объем: "&amp;Source!I92&amp;"=15,6/"&amp;"100"</f>
        <v>Объем: 0,156=15,6/100</v>
      </c>
    </row>
    <row r="305" spans="1:26" ht="14.25" x14ac:dyDescent="0.2">
      <c r="A305" s="42"/>
      <c r="B305" s="43"/>
      <c r="C305" s="43" t="s">
        <v>1302</v>
      </c>
      <c r="D305" s="26"/>
      <c r="E305" s="10"/>
      <c r="F305" s="27">
        <f>Source!AO92</f>
        <v>352.34</v>
      </c>
      <c r="G305" s="28" t="str">
        <f>Source!DG92</f>
        <v>)*1,15)*1,2</v>
      </c>
      <c r="H305" s="27">
        <f>ROUND(Source!AF92*Source!I92, 2)</f>
        <v>75.849999999999994</v>
      </c>
      <c r="I305" s="28"/>
      <c r="J305" s="28">
        <f>IF(Source!BA92&lt;&gt; 0, Source!BA92, 1)</f>
        <v>6.13</v>
      </c>
      <c r="K305" s="27">
        <f>Source!S92</f>
        <v>464.97</v>
      </c>
      <c r="L305" s="29"/>
      <c r="R305">
        <f>H305</f>
        <v>75.849999999999994</v>
      </c>
    </row>
    <row r="306" spans="1:26" ht="14.25" x14ac:dyDescent="0.2">
      <c r="A306" s="42"/>
      <c r="B306" s="43"/>
      <c r="C306" s="43" t="s">
        <v>334</v>
      </c>
      <c r="D306" s="26"/>
      <c r="E306" s="10"/>
      <c r="F306" s="27">
        <f>Source!AM92</f>
        <v>43.8</v>
      </c>
      <c r="G306" s="28" t="str">
        <f>Source!DE92</f>
        <v>)*1,25)*1,2</v>
      </c>
      <c r="H306" s="27">
        <f>ROUND(Source!AD92*Source!I92, 2)</f>
        <v>10.25</v>
      </c>
      <c r="I306" s="28"/>
      <c r="J306" s="28">
        <f>IF(Source!BB92&lt;&gt; 0, Source!BB92, 1)</f>
        <v>6.13</v>
      </c>
      <c r="K306" s="27">
        <f>Source!Q92</f>
        <v>62.84</v>
      </c>
      <c r="L306" s="29"/>
    </row>
    <row r="307" spans="1:26" ht="14.25" x14ac:dyDescent="0.2">
      <c r="A307" s="42"/>
      <c r="B307" s="43"/>
      <c r="C307" s="43" t="s">
        <v>1303</v>
      </c>
      <c r="D307" s="26"/>
      <c r="E307" s="10"/>
      <c r="F307" s="27">
        <f>Source!AN92</f>
        <v>10.53</v>
      </c>
      <c r="G307" s="28" t="str">
        <f>Source!DF92</f>
        <v>)*1,25)*1,2</v>
      </c>
      <c r="H307" s="30">
        <f>ROUND(Source!AE92*Source!I92, 2)</f>
        <v>2.46</v>
      </c>
      <c r="I307" s="28"/>
      <c r="J307" s="28">
        <f>IF(Source!BS92&lt;&gt; 0, Source!BS92, 1)</f>
        <v>6.13</v>
      </c>
      <c r="K307" s="30">
        <f>Source!R92</f>
        <v>15.11</v>
      </c>
      <c r="L307" s="29"/>
      <c r="R307">
        <f>H307</f>
        <v>2.46</v>
      </c>
    </row>
    <row r="308" spans="1:26" ht="14.25" x14ac:dyDescent="0.2">
      <c r="A308" s="42"/>
      <c r="B308" s="43"/>
      <c r="C308" s="43" t="s">
        <v>1309</v>
      </c>
      <c r="D308" s="26"/>
      <c r="E308" s="10"/>
      <c r="F308" s="27">
        <f>Source!AL92</f>
        <v>0.91</v>
      </c>
      <c r="G308" s="28" t="str">
        <f>Source!DD92</f>
        <v/>
      </c>
      <c r="H308" s="27">
        <f>ROUND(Source!AC92*Source!I92, 2)</f>
        <v>0.14000000000000001</v>
      </c>
      <c r="I308" s="28"/>
      <c r="J308" s="28">
        <f>IF(Source!BC92&lt;&gt; 0, Source!BC92, 1)</f>
        <v>6.13</v>
      </c>
      <c r="K308" s="27">
        <f>Source!P92</f>
        <v>0.87</v>
      </c>
      <c r="L308" s="29"/>
    </row>
    <row r="309" spans="1:26" ht="14.25" x14ac:dyDescent="0.2">
      <c r="A309" s="42"/>
      <c r="B309" s="43"/>
      <c r="C309" s="43" t="s">
        <v>1304</v>
      </c>
      <c r="D309" s="26" t="s">
        <v>1305</v>
      </c>
      <c r="E309" s="10">
        <f>Source!BZ92</f>
        <v>123</v>
      </c>
      <c r="F309" s="50" t="str">
        <f>CONCATENATE(" )", Source!DL92, Source!FT92, "=", Source!FX92)</f>
        <v xml:space="preserve"> )*0,9=110,7</v>
      </c>
      <c r="G309" s="62"/>
      <c r="H309" s="27">
        <f>SUM(S303:S315)</f>
        <v>86.69</v>
      </c>
      <c r="I309" s="31"/>
      <c r="J309" s="25">
        <f>Source!AT92</f>
        <v>111</v>
      </c>
      <c r="K309" s="27">
        <f>SUM(T303:T315)</f>
        <v>532.89</v>
      </c>
      <c r="L309" s="29"/>
    </row>
    <row r="310" spans="1:26" ht="14.25" x14ac:dyDescent="0.2">
      <c r="A310" s="42"/>
      <c r="B310" s="43"/>
      <c r="C310" s="43" t="s">
        <v>1306</v>
      </c>
      <c r="D310" s="26" t="s">
        <v>1305</v>
      </c>
      <c r="E310" s="10">
        <f>Source!CA92</f>
        <v>75</v>
      </c>
      <c r="F310" s="50" t="str">
        <f>CONCATENATE(" )", Source!DM92, Source!FU92, "=", Source!FY92)</f>
        <v xml:space="preserve"> )*0,85=63,75</v>
      </c>
      <c r="G310" s="62"/>
      <c r="H310" s="27">
        <f>SUM(U303:U315)</f>
        <v>49.92</v>
      </c>
      <c r="I310" s="31"/>
      <c r="J310" s="25">
        <f>Source!AU92</f>
        <v>64</v>
      </c>
      <c r="K310" s="27">
        <f>SUM(V303:V315)</f>
        <v>307.25</v>
      </c>
      <c r="L310" s="29"/>
    </row>
    <row r="311" spans="1:26" ht="14.25" x14ac:dyDescent="0.2">
      <c r="A311" s="42"/>
      <c r="B311" s="43"/>
      <c r="C311" s="43" t="s">
        <v>1307</v>
      </c>
      <c r="D311" s="26" t="s">
        <v>1308</v>
      </c>
      <c r="E311" s="10">
        <f>Source!AQ92</f>
        <v>42.4</v>
      </c>
      <c r="F311" s="27"/>
      <c r="G311" s="28" t="str">
        <f>Source!DI92</f>
        <v>)*1,15)*1,2</v>
      </c>
      <c r="H311" s="27"/>
      <c r="I311" s="28"/>
      <c r="J311" s="28"/>
      <c r="K311" s="27"/>
      <c r="L311" s="38">
        <f>Source!U92</f>
        <v>9.1278719999999982</v>
      </c>
    </row>
    <row r="312" spans="1:26" ht="57" x14ac:dyDescent="0.2">
      <c r="A312" s="42" t="str">
        <f>Source!E93</f>
        <v>26,1</v>
      </c>
      <c r="B312" s="43" t="str">
        <f>Source!F93</f>
        <v>01.6.03.04-0121</v>
      </c>
      <c r="C312" s="43" t="str">
        <f>Source!G93</f>
        <v>Линолеум коммерческий гомогенный "ТАРКЕТТ iQ MONOLIT" (толщина 2 мм, класс 34/43, пож. безопасность Г1, В2, РП1, Д2, Т2)</v>
      </c>
      <c r="D312" s="26" t="str">
        <f>Source!H93</f>
        <v>м2</v>
      </c>
      <c r="E312" s="10">
        <f>Source!I93</f>
        <v>15.912000000000001</v>
      </c>
      <c r="F312" s="27">
        <f>Source!AL93+Source!AM93+Source!AO93</f>
        <v>176.21</v>
      </c>
      <c r="G312" s="39" t="s">
        <v>3</v>
      </c>
      <c r="H312" s="27">
        <f>ROUND(Source!AC93*Source!I93, 2)+ROUND(Source!AD93*Source!I93, 2)+ROUND(Source!AF93*Source!I93, 2)</f>
        <v>2803.85</v>
      </c>
      <c r="I312" s="28"/>
      <c r="J312" s="28">
        <f>IF(Source!BC93&lt;&gt; 0, Source!BC93, 1)</f>
        <v>6.13</v>
      </c>
      <c r="K312" s="27">
        <f>Source!O93</f>
        <v>17187.62</v>
      </c>
      <c r="L312" s="29"/>
      <c r="S312">
        <f>ROUND((Source!FX93/100)*((ROUND(Source!AF93*Source!I93, 2)+ROUND(Source!AE93*Source!I93, 2))), 2)</f>
        <v>0</v>
      </c>
      <c r="T312">
        <f>Source!X93</f>
        <v>0</v>
      </c>
      <c r="U312">
        <f>ROUND((Source!FY93/100)*((ROUND(Source!AF93*Source!I93, 2)+ROUND(Source!AE93*Source!I93, 2))), 2)</f>
        <v>0</v>
      </c>
      <c r="V312">
        <f>Source!Y93</f>
        <v>0</v>
      </c>
      <c r="W312">
        <f>IF(Source!BI93&lt;=1,H312, 0)</f>
        <v>2803.85</v>
      </c>
      <c r="X312">
        <f>IF(Source!BI93=2,H312, 0)</f>
        <v>0</v>
      </c>
      <c r="Y312">
        <f>IF(Source!BI93=3,H312, 0)</f>
        <v>0</v>
      </c>
      <c r="Z312">
        <f>IF(Source!BI93=4,H312, 0)</f>
        <v>0</v>
      </c>
    </row>
    <row r="313" spans="1:26" ht="14.25" x14ac:dyDescent="0.2">
      <c r="A313" s="42" t="str">
        <f>Source!E94</f>
        <v>26,2</v>
      </c>
      <c r="B313" s="43" t="str">
        <f>Source!F94</f>
        <v>14.1.02.04-0101</v>
      </c>
      <c r="C313" s="43" t="str">
        <f>Source!G94</f>
        <v>Клей «Бустилат»</v>
      </c>
      <c r="D313" s="26" t="str">
        <f>Source!H94</f>
        <v>т</v>
      </c>
      <c r="E313" s="10">
        <f>Source!I94</f>
        <v>7.7999999999999996E-3</v>
      </c>
      <c r="F313" s="27">
        <f>Source!AL94+Source!AM94+Source!AO94</f>
        <v>11300</v>
      </c>
      <c r="G313" s="39" t="s">
        <v>3</v>
      </c>
      <c r="H313" s="27">
        <f>ROUND(Source!AC94*Source!I94, 2)+ROUND(Source!AD94*Source!I94, 2)+ROUND(Source!AF94*Source!I94, 2)</f>
        <v>88.14</v>
      </c>
      <c r="I313" s="28"/>
      <c r="J313" s="28">
        <f>IF(Source!BC94&lt;&gt; 0, Source!BC94, 1)</f>
        <v>6.13</v>
      </c>
      <c r="K313" s="27">
        <f>Source!O94</f>
        <v>540.29999999999995</v>
      </c>
      <c r="L313" s="29"/>
      <c r="S313">
        <f>ROUND((Source!FX94/100)*((ROUND(Source!AF94*Source!I94, 2)+ROUND(Source!AE94*Source!I94, 2))), 2)</f>
        <v>0</v>
      </c>
      <c r="T313">
        <f>Source!X94</f>
        <v>0</v>
      </c>
      <c r="U313">
        <f>ROUND((Source!FY94/100)*((ROUND(Source!AF94*Source!I94, 2)+ROUND(Source!AE94*Source!I94, 2))), 2)</f>
        <v>0</v>
      </c>
      <c r="V313">
        <f>Source!Y94</f>
        <v>0</v>
      </c>
      <c r="W313">
        <f>IF(Source!BI94&lt;=1,H313, 0)</f>
        <v>88.14</v>
      </c>
      <c r="X313">
        <f>IF(Source!BI94=2,H313, 0)</f>
        <v>0</v>
      </c>
      <c r="Y313">
        <f>IF(Source!BI94=3,H313, 0)</f>
        <v>0</v>
      </c>
      <c r="Z313">
        <f>IF(Source!BI94=4,H313, 0)</f>
        <v>0</v>
      </c>
    </row>
    <row r="314" spans="1:26" ht="28.5" x14ac:dyDescent="0.2">
      <c r="A314" s="42" t="str">
        <f>Source!E95</f>
        <v>26,3</v>
      </c>
      <c r="B314" s="43" t="str">
        <f>Source!F95</f>
        <v>01.6.03.04</v>
      </c>
      <c r="C314" s="43" t="str">
        <f>Source!G95</f>
        <v>Линолеум на теплозвукоизолирующей подоснове</v>
      </c>
      <c r="D314" s="26" t="str">
        <f>Source!H95</f>
        <v>м2</v>
      </c>
      <c r="E314" s="10">
        <f>Source!I95</f>
        <v>15.912000000000001</v>
      </c>
      <c r="F314" s="27">
        <f>Source!AL95+Source!AM95+Source!AO95</f>
        <v>0</v>
      </c>
      <c r="G314" s="39" t="s">
        <v>3</v>
      </c>
      <c r="H314" s="27">
        <f>ROUND(Source!AC95*Source!I95, 2)+ROUND(Source!AD95*Source!I95, 2)+ROUND(Source!AF95*Source!I95, 2)</f>
        <v>0</v>
      </c>
      <c r="I314" s="28"/>
      <c r="J314" s="28">
        <f>IF(Source!BC95&lt;&gt; 0, Source!BC95, 1)</f>
        <v>6.13</v>
      </c>
      <c r="K314" s="27">
        <f>Source!O95</f>
        <v>0</v>
      </c>
      <c r="L314" s="29"/>
      <c r="S314">
        <f>ROUND((Source!FX95/100)*((ROUND(Source!AF95*Source!I95, 2)+ROUND(Source!AE95*Source!I95, 2))), 2)</f>
        <v>0</v>
      </c>
      <c r="T314">
        <f>Source!X95</f>
        <v>0</v>
      </c>
      <c r="U314">
        <f>ROUND((Source!FY95/100)*((ROUND(Source!AF95*Source!I95, 2)+ROUND(Source!AE95*Source!I95, 2))), 2)</f>
        <v>0</v>
      </c>
      <c r="V314">
        <f>Source!Y95</f>
        <v>0</v>
      </c>
      <c r="W314">
        <f>IF(Source!BI95&lt;=1,H314, 0)</f>
        <v>0</v>
      </c>
      <c r="X314">
        <f>IF(Source!BI95=2,H314, 0)</f>
        <v>0</v>
      </c>
      <c r="Y314">
        <f>IF(Source!BI95=3,H314, 0)</f>
        <v>0</v>
      </c>
      <c r="Z314">
        <f>IF(Source!BI95=4,H314, 0)</f>
        <v>0</v>
      </c>
    </row>
    <row r="315" spans="1:26" ht="14.25" x14ac:dyDescent="0.2">
      <c r="A315" s="44" t="str">
        <f>Source!E96</f>
        <v>26,4</v>
      </c>
      <c r="B315" s="45" t="str">
        <f>Source!F96</f>
        <v>14.1.06.05</v>
      </c>
      <c r="C315" s="45" t="str">
        <f>Source!G96</f>
        <v>Состав клеящий</v>
      </c>
      <c r="D315" s="32" t="str">
        <f>Source!H96</f>
        <v>кг</v>
      </c>
      <c r="E315" s="33">
        <f>Source!I96</f>
        <v>7.8</v>
      </c>
      <c r="F315" s="34">
        <f>Source!AL96+Source!AM96+Source!AO96</f>
        <v>0</v>
      </c>
      <c r="G315" s="40" t="s">
        <v>3</v>
      </c>
      <c r="H315" s="34">
        <f>ROUND(Source!AC96*Source!I96, 2)+ROUND(Source!AD96*Source!I96, 2)+ROUND(Source!AF96*Source!I96, 2)</f>
        <v>0</v>
      </c>
      <c r="I315" s="35"/>
      <c r="J315" s="35">
        <f>IF(Source!BC96&lt;&gt; 0, Source!BC96, 1)</f>
        <v>6.13</v>
      </c>
      <c r="K315" s="34">
        <f>Source!O96</f>
        <v>0</v>
      </c>
      <c r="L315" s="41"/>
      <c r="S315">
        <f>ROUND((Source!FX96/100)*((ROUND(Source!AF96*Source!I96, 2)+ROUND(Source!AE96*Source!I96, 2))), 2)</f>
        <v>0</v>
      </c>
      <c r="T315">
        <f>Source!X96</f>
        <v>0</v>
      </c>
      <c r="U315">
        <f>ROUND((Source!FY96/100)*((ROUND(Source!AF96*Source!I96, 2)+ROUND(Source!AE96*Source!I96, 2))), 2)</f>
        <v>0</v>
      </c>
      <c r="V315">
        <f>Source!Y96</f>
        <v>0</v>
      </c>
      <c r="W315">
        <f>IF(Source!BI96&lt;=1,H315, 0)</f>
        <v>0</v>
      </c>
      <c r="X315">
        <f>IF(Source!BI96=2,H315, 0)</f>
        <v>0</v>
      </c>
      <c r="Y315">
        <f>IF(Source!BI96=3,H315, 0)</f>
        <v>0</v>
      </c>
      <c r="Z315">
        <f>IF(Source!BI96=4,H315, 0)</f>
        <v>0</v>
      </c>
    </row>
    <row r="316" spans="1:26" ht="15" x14ac:dyDescent="0.25">
      <c r="G316" s="61">
        <f>H305+H306+H308+H309+H310+SUM(H312:H315)</f>
        <v>3114.8399999999997</v>
      </c>
      <c r="H316" s="61"/>
      <c r="J316" s="61">
        <f>K305+K306+K308+K309+K310+SUM(K312:K315)</f>
        <v>19096.739999999998</v>
      </c>
      <c r="K316" s="61"/>
      <c r="L316" s="37">
        <f>Source!U92</f>
        <v>9.1278719999999982</v>
      </c>
      <c r="O316" s="23">
        <f>G316</f>
        <v>3114.8399999999997</v>
      </c>
      <c r="P316" s="23">
        <f>J316</f>
        <v>19096.739999999998</v>
      </c>
      <c r="Q316" s="23">
        <f>L316</f>
        <v>9.1278719999999982</v>
      </c>
      <c r="W316">
        <f>IF(Source!BI92&lt;=1,H305+H306+H308+H309+H310, 0)</f>
        <v>222.85000000000002</v>
      </c>
      <c r="X316">
        <f>IF(Source!BI92=2,H305+H306+H308+H309+H310, 0)</f>
        <v>0</v>
      </c>
      <c r="Y316">
        <f>IF(Source!BI92=3,H305+H306+H308+H309+H310, 0)</f>
        <v>0</v>
      </c>
      <c r="Z316">
        <f>IF(Source!BI92=4,H305+H306+H308+H309+H310, 0)</f>
        <v>0</v>
      </c>
    </row>
    <row r="317" spans="1:26" ht="28.5" x14ac:dyDescent="0.2">
      <c r="A317" s="42" t="str">
        <f>Source!E97</f>
        <v>27</v>
      </c>
      <c r="B317" s="43" t="str">
        <f>Source!F97</f>
        <v>09-06-024-10</v>
      </c>
      <c r="C317" s="43" t="str">
        <f>Source!G97</f>
        <v>Монтаж лестниц, площадок, ограждений</v>
      </c>
      <c r="D317" s="26" t="str">
        <f>Source!H97</f>
        <v>т</v>
      </c>
      <c r="E317" s="10">
        <f>Source!I97</f>
        <v>0.8</v>
      </c>
      <c r="F317" s="27">
        <f>Source!AL97+Source!AM97+Source!AO97</f>
        <v>754.36</v>
      </c>
      <c r="G317" s="28"/>
      <c r="H317" s="27"/>
      <c r="I317" s="28" t="str">
        <f>Source!BO97</f>
        <v/>
      </c>
      <c r="J317" s="28"/>
      <c r="K317" s="27"/>
      <c r="L317" s="29"/>
      <c r="S317">
        <f>ROUND((Source!FX97/100)*((ROUND(Source!AF97*Source!I97, 2)+ROUND(Source!AE97*Source!I97, 2))), 2)</f>
        <v>340.01</v>
      </c>
      <c r="T317">
        <f>Source!X97</f>
        <v>2084.19</v>
      </c>
      <c r="U317">
        <f>ROUND((Source!FY97/100)*((ROUND(Source!AF97*Source!I97, 2)+ROUND(Source!AE97*Source!I97, 2))), 2)</f>
        <v>303.27999999999997</v>
      </c>
      <c r="V317">
        <f>Source!Y97</f>
        <v>1852.62</v>
      </c>
    </row>
    <row r="318" spans="1:26" ht="14.25" x14ac:dyDescent="0.2">
      <c r="A318" s="42"/>
      <c r="B318" s="43"/>
      <c r="C318" s="43" t="s">
        <v>1302</v>
      </c>
      <c r="D318" s="26"/>
      <c r="E318" s="10"/>
      <c r="F318" s="27">
        <f>Source!AO97</f>
        <v>368.06</v>
      </c>
      <c r="G318" s="28" t="str">
        <f>Source!DG97</f>
        <v>)*1,15)*1,2</v>
      </c>
      <c r="H318" s="27">
        <f>ROUND(Source!AF97*Source!I97, 2)</f>
        <v>406.34</v>
      </c>
      <c r="I318" s="28"/>
      <c r="J318" s="28">
        <f>IF(Source!BA97&lt;&gt; 0, Source!BA97, 1)</f>
        <v>6.13</v>
      </c>
      <c r="K318" s="27">
        <f>Source!S97</f>
        <v>2490.84</v>
      </c>
      <c r="L318" s="29"/>
      <c r="R318">
        <f>H318</f>
        <v>406.34</v>
      </c>
    </row>
    <row r="319" spans="1:26" ht="14.25" x14ac:dyDescent="0.2">
      <c r="A319" s="42"/>
      <c r="B319" s="43"/>
      <c r="C319" s="43" t="s">
        <v>334</v>
      </c>
      <c r="D319" s="26"/>
      <c r="E319" s="10"/>
      <c r="F319" s="27">
        <f>Source!AM97</f>
        <v>284.60000000000002</v>
      </c>
      <c r="G319" s="28" t="str">
        <f>Source!DE97</f>
        <v>)*1,25)*1,2</v>
      </c>
      <c r="H319" s="27">
        <f>ROUND(Source!AD97*Source!I97, 2)</f>
        <v>341.52</v>
      </c>
      <c r="I319" s="28"/>
      <c r="J319" s="28">
        <f>IF(Source!BB97&lt;&gt; 0, Source!BB97, 1)</f>
        <v>6.13</v>
      </c>
      <c r="K319" s="27">
        <f>Source!Q97</f>
        <v>2093.52</v>
      </c>
      <c r="L319" s="29"/>
    </row>
    <row r="320" spans="1:26" ht="14.25" x14ac:dyDescent="0.2">
      <c r="A320" s="42"/>
      <c r="B320" s="43"/>
      <c r="C320" s="43" t="s">
        <v>1303</v>
      </c>
      <c r="D320" s="26"/>
      <c r="E320" s="10"/>
      <c r="F320" s="27">
        <f>Source!AN97</f>
        <v>11.18</v>
      </c>
      <c r="G320" s="28" t="str">
        <f>Source!DF97</f>
        <v>)*1,25)*1,2</v>
      </c>
      <c r="H320" s="30">
        <f>ROUND(Source!AE97*Source!I97, 2)</f>
        <v>13.42</v>
      </c>
      <c r="I320" s="28"/>
      <c r="J320" s="28">
        <f>IF(Source!BS97&lt;&gt; 0, Source!BS97, 1)</f>
        <v>6.13</v>
      </c>
      <c r="K320" s="30">
        <f>Source!R97</f>
        <v>82.24</v>
      </c>
      <c r="L320" s="29"/>
      <c r="R320">
        <f>H320</f>
        <v>13.42</v>
      </c>
    </row>
    <row r="321" spans="1:26" ht="14.25" x14ac:dyDescent="0.2">
      <c r="A321" s="42"/>
      <c r="B321" s="43"/>
      <c r="C321" s="43" t="s">
        <v>1309</v>
      </c>
      <c r="D321" s="26"/>
      <c r="E321" s="10"/>
      <c r="F321" s="27">
        <f>Source!AL97</f>
        <v>101.7</v>
      </c>
      <c r="G321" s="28" t="str">
        <f>Source!DD97</f>
        <v/>
      </c>
      <c r="H321" s="27">
        <f>ROUND(Source!AC97*Source!I97, 2)</f>
        <v>81.36</v>
      </c>
      <c r="I321" s="28"/>
      <c r="J321" s="28">
        <f>IF(Source!BC97&lt;&gt; 0, Source!BC97, 1)</f>
        <v>6.13</v>
      </c>
      <c r="K321" s="27">
        <f>Source!P97</f>
        <v>498.74</v>
      </c>
      <c r="L321" s="29"/>
    </row>
    <row r="322" spans="1:26" ht="14.25" x14ac:dyDescent="0.2">
      <c r="A322" s="42"/>
      <c r="B322" s="43"/>
      <c r="C322" s="43" t="s">
        <v>1304</v>
      </c>
      <c r="D322" s="26" t="s">
        <v>1305</v>
      </c>
      <c r="E322" s="10">
        <f>Source!BZ97</f>
        <v>90</v>
      </c>
      <c r="F322" s="50" t="str">
        <f>CONCATENATE(" )", Source!DL97, Source!FT97, "=", Source!FX97)</f>
        <v xml:space="preserve"> )*0,9=81</v>
      </c>
      <c r="G322" s="62"/>
      <c r="H322" s="27">
        <f>SUM(S317:S325)</f>
        <v>340.01</v>
      </c>
      <c r="I322" s="31"/>
      <c r="J322" s="25">
        <f>Source!AT97</f>
        <v>81</v>
      </c>
      <c r="K322" s="27">
        <f>SUM(T317:T325)</f>
        <v>2084.19</v>
      </c>
      <c r="L322" s="29"/>
    </row>
    <row r="323" spans="1:26" ht="14.25" x14ac:dyDescent="0.2">
      <c r="A323" s="42"/>
      <c r="B323" s="43"/>
      <c r="C323" s="43" t="s">
        <v>1306</v>
      </c>
      <c r="D323" s="26" t="s">
        <v>1305</v>
      </c>
      <c r="E323" s="10">
        <f>Source!CA97</f>
        <v>85</v>
      </c>
      <c r="F323" s="50" t="str">
        <f>CONCATENATE(" )", Source!DM97, Source!FU97, "=", Source!FY97)</f>
        <v xml:space="preserve"> )*0,85=72,25</v>
      </c>
      <c r="G323" s="62"/>
      <c r="H323" s="27">
        <f>SUM(U317:U325)</f>
        <v>303.27999999999997</v>
      </c>
      <c r="I323" s="31"/>
      <c r="J323" s="25">
        <f>Source!AU97</f>
        <v>72</v>
      </c>
      <c r="K323" s="27">
        <f>SUM(V317:V325)</f>
        <v>1852.62</v>
      </c>
      <c r="L323" s="29"/>
    </row>
    <row r="324" spans="1:26" ht="14.25" x14ac:dyDescent="0.2">
      <c r="A324" s="42"/>
      <c r="B324" s="43"/>
      <c r="C324" s="43" t="s">
        <v>1307</v>
      </c>
      <c r="D324" s="26" t="s">
        <v>1308</v>
      </c>
      <c r="E324" s="10">
        <f>Source!AQ97</f>
        <v>38.26</v>
      </c>
      <c r="F324" s="27"/>
      <c r="G324" s="28" t="str">
        <f>Source!DI97</f>
        <v>)*1,15)*1,2</v>
      </c>
      <c r="H324" s="27"/>
      <c r="I324" s="28"/>
      <c r="J324" s="28"/>
      <c r="K324" s="27"/>
      <c r="L324" s="38">
        <f>Source!U97</f>
        <v>42.239039999999996</v>
      </c>
    </row>
    <row r="325" spans="1:26" ht="28.5" x14ac:dyDescent="0.2">
      <c r="A325" s="44" t="str">
        <f>Source!E98</f>
        <v>27,1</v>
      </c>
      <c r="B325" s="45" t="str">
        <f>Source!F98</f>
        <v>07.2.05.01-0032</v>
      </c>
      <c r="C325" s="45" t="str">
        <f>Source!G98</f>
        <v>Ограждения лестничных проемов, лестничные маршей</v>
      </c>
      <c r="D325" s="32" t="str">
        <f>Source!H98</f>
        <v>т</v>
      </c>
      <c r="E325" s="33">
        <f>Source!I98</f>
        <v>0.8</v>
      </c>
      <c r="F325" s="34">
        <f>Source!AL98+Source!AM98+Source!AO98</f>
        <v>7571</v>
      </c>
      <c r="G325" s="40" t="s">
        <v>3</v>
      </c>
      <c r="H325" s="34">
        <f>ROUND(Source!AC98*Source!I98, 2)+ROUND(Source!AD98*Source!I98, 2)+ROUND(Source!AF98*Source!I98, 2)</f>
        <v>6056.8</v>
      </c>
      <c r="I325" s="35"/>
      <c r="J325" s="35">
        <f>IF(Source!BC98&lt;&gt; 0, Source!BC98, 1)</f>
        <v>6.13</v>
      </c>
      <c r="K325" s="34">
        <f>Source!O98</f>
        <v>37128.18</v>
      </c>
      <c r="L325" s="41"/>
      <c r="S325">
        <f>ROUND((Source!FX98/100)*((ROUND(Source!AF98*Source!I98, 2)+ROUND(Source!AE98*Source!I98, 2))), 2)</f>
        <v>0</v>
      </c>
      <c r="T325">
        <f>Source!X98</f>
        <v>0</v>
      </c>
      <c r="U325">
        <f>ROUND((Source!FY98/100)*((ROUND(Source!AF98*Source!I98, 2)+ROUND(Source!AE98*Source!I98, 2))), 2)</f>
        <v>0</v>
      </c>
      <c r="V325">
        <f>Source!Y98</f>
        <v>0</v>
      </c>
      <c r="W325">
        <f>IF(Source!BI98&lt;=1,H325, 0)</f>
        <v>6056.8</v>
      </c>
      <c r="X325">
        <f>IF(Source!BI98=2,H325, 0)</f>
        <v>0</v>
      </c>
      <c r="Y325">
        <f>IF(Source!BI98=3,H325, 0)</f>
        <v>0</v>
      </c>
      <c r="Z325">
        <f>IF(Source!BI98=4,H325, 0)</f>
        <v>0</v>
      </c>
    </row>
    <row r="326" spans="1:26" ht="15" x14ac:dyDescent="0.25">
      <c r="G326" s="61">
        <f>H318+H319+H321+H322+H323+SUM(H325:H325)</f>
        <v>7529.31</v>
      </c>
      <c r="H326" s="61"/>
      <c r="J326" s="61">
        <f>K318+K319+K321+K322+K323+SUM(K325:K325)</f>
        <v>46148.09</v>
      </c>
      <c r="K326" s="61"/>
      <c r="L326" s="37">
        <f>Source!U97</f>
        <v>42.239039999999996</v>
      </c>
      <c r="O326" s="23">
        <f>G326</f>
        <v>7529.31</v>
      </c>
      <c r="P326" s="23">
        <f>J326</f>
        <v>46148.09</v>
      </c>
      <c r="Q326" s="23">
        <f>L326</f>
        <v>42.239039999999996</v>
      </c>
      <c r="W326">
        <f>IF(Source!BI97&lt;=1,H318+H319+H321+H322+H323, 0)</f>
        <v>1472.51</v>
      </c>
      <c r="X326">
        <f>IF(Source!BI97=2,H318+H319+H321+H322+H323, 0)</f>
        <v>0</v>
      </c>
      <c r="Y326">
        <f>IF(Source!BI97=3,H318+H319+H321+H322+H323, 0)</f>
        <v>0</v>
      </c>
      <c r="Z326">
        <f>IF(Source!BI97=4,H318+H319+H321+H322+H323, 0)</f>
        <v>0</v>
      </c>
    </row>
    <row r="327" spans="1:26" ht="15" x14ac:dyDescent="0.25">
      <c r="A327" s="59" t="str">
        <f>CONCATENATE("Итого по разделу: ",IF(Source!G100&lt;&gt;"Новый раздел", Source!G100, ""))</f>
        <v>Итого по разделу: Общестроительные работы</v>
      </c>
      <c r="B327" s="59"/>
      <c r="C327" s="59"/>
      <c r="D327" s="59"/>
      <c r="E327" s="59"/>
      <c r="F327" s="59"/>
      <c r="G327" s="60">
        <f>SUM(O24:O326)</f>
        <v>125345.21</v>
      </c>
      <c r="H327" s="60"/>
      <c r="I327" s="24"/>
      <c r="J327" s="60">
        <f>SUM(P24:P326)</f>
        <v>768637.17</v>
      </c>
      <c r="K327" s="60"/>
      <c r="L327" s="37">
        <f>SUM(Q24:Q326)</f>
        <v>1106.6487977999998</v>
      </c>
    </row>
    <row r="328" spans="1:26" ht="16.5" x14ac:dyDescent="0.25">
      <c r="A328" s="64" t="str">
        <f>CONCATENATE("Раздел: ",IF(Source!G129&lt;&gt;"Новый раздел", Source!G129, ""))</f>
        <v>Раздел: Система электроснабжения</v>
      </c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</row>
    <row r="329" spans="1:26" ht="71.25" x14ac:dyDescent="0.2">
      <c r="A329" s="42" t="str">
        <f>Source!E133</f>
        <v>28</v>
      </c>
      <c r="B329" s="43" t="str">
        <f>Source!F133</f>
        <v>м08-02-412-03</v>
      </c>
      <c r="C329" s="43" t="str">
        <f>Source!G133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329" s="26" t="str">
        <f>Source!H133</f>
        <v>100 м</v>
      </c>
      <c r="E329" s="10">
        <f>Source!I133</f>
        <v>0.3</v>
      </c>
      <c r="F329" s="27">
        <f>Source!AL133+Source!AM133+Source!AO133</f>
        <v>87.15</v>
      </c>
      <c r="G329" s="28"/>
      <c r="H329" s="27"/>
      <c r="I329" s="28" t="str">
        <f>Source!BO133</f>
        <v/>
      </c>
      <c r="J329" s="28"/>
      <c r="K329" s="27"/>
      <c r="L329" s="29"/>
      <c r="S329">
        <f>ROUND((Source!FX133/100)*((ROUND(Source!AF133*Source!I133, 2)+ROUND(Source!AE133*Source!I133, 2))), 2)</f>
        <v>20.48</v>
      </c>
      <c r="T329">
        <f>Source!X133</f>
        <v>125.56</v>
      </c>
      <c r="U329">
        <f>ROUND((Source!FY133/100)*((ROUND(Source!AF133*Source!I133, 2)+ROUND(Source!AE133*Source!I133, 2))), 2)</f>
        <v>14.01</v>
      </c>
      <c r="V329">
        <f>Source!Y133</f>
        <v>85.91</v>
      </c>
    </row>
    <row r="330" spans="1:26" x14ac:dyDescent="0.2">
      <c r="C330" s="22" t="str">
        <f>"Объем: "&amp;Source!I133&amp;"=30/"&amp;"100"</f>
        <v>Объем: 0,3=30/100</v>
      </c>
    </row>
    <row r="331" spans="1:26" ht="14.25" x14ac:dyDescent="0.2">
      <c r="A331" s="42"/>
      <c r="B331" s="43"/>
      <c r="C331" s="43" t="s">
        <v>1302</v>
      </c>
      <c r="D331" s="26"/>
      <c r="E331" s="10"/>
      <c r="F331" s="27">
        <f>Source!AO133</f>
        <v>59.13</v>
      </c>
      <c r="G331" s="28" t="str">
        <f>Source!DG133</f>
        <v>)*1,2</v>
      </c>
      <c r="H331" s="27">
        <f>ROUND(Source!AF133*Source!I133, 2)</f>
        <v>21.29</v>
      </c>
      <c r="I331" s="28"/>
      <c r="J331" s="28">
        <f>IF(Source!BA133&lt;&gt; 0, Source!BA133, 1)</f>
        <v>6.13</v>
      </c>
      <c r="K331" s="27">
        <f>Source!S133</f>
        <v>130.5</v>
      </c>
      <c r="L331" s="29"/>
      <c r="R331">
        <f>H331</f>
        <v>21.29</v>
      </c>
    </row>
    <row r="332" spans="1:26" ht="14.25" x14ac:dyDescent="0.2">
      <c r="A332" s="42"/>
      <c r="B332" s="43"/>
      <c r="C332" s="43" t="s">
        <v>334</v>
      </c>
      <c r="D332" s="26"/>
      <c r="E332" s="10"/>
      <c r="F332" s="27">
        <f>Source!AM133</f>
        <v>5.33</v>
      </c>
      <c r="G332" s="28" t="str">
        <f>Source!DE133</f>
        <v>)*1,2</v>
      </c>
      <c r="H332" s="27">
        <f>ROUND(Source!AD133*Source!I133, 2)</f>
        <v>1.92</v>
      </c>
      <c r="I332" s="28"/>
      <c r="J332" s="28">
        <f>IF(Source!BB133&lt;&gt; 0, Source!BB133, 1)</f>
        <v>6.13</v>
      </c>
      <c r="K332" s="27">
        <f>Source!Q133</f>
        <v>11.75</v>
      </c>
      <c r="L332" s="29"/>
    </row>
    <row r="333" spans="1:26" ht="14.25" x14ac:dyDescent="0.2">
      <c r="A333" s="42"/>
      <c r="B333" s="43"/>
      <c r="C333" s="43" t="s">
        <v>1303</v>
      </c>
      <c r="D333" s="26"/>
      <c r="E333" s="10"/>
      <c r="F333" s="27">
        <f>Source!AN133</f>
        <v>0.76</v>
      </c>
      <c r="G333" s="28" t="str">
        <f>Source!DF133</f>
        <v>)*1,2</v>
      </c>
      <c r="H333" s="30">
        <f>ROUND(Source!AE133*Source!I133, 2)</f>
        <v>0.27</v>
      </c>
      <c r="I333" s="28"/>
      <c r="J333" s="28">
        <f>IF(Source!BS133&lt;&gt; 0, Source!BS133, 1)</f>
        <v>6.13</v>
      </c>
      <c r="K333" s="30">
        <f>Source!R133</f>
        <v>1.67</v>
      </c>
      <c r="L333" s="29"/>
      <c r="R333">
        <f>H333</f>
        <v>0.27</v>
      </c>
    </row>
    <row r="334" spans="1:26" ht="14.25" x14ac:dyDescent="0.2">
      <c r="A334" s="42"/>
      <c r="B334" s="43"/>
      <c r="C334" s="43" t="s">
        <v>1309</v>
      </c>
      <c r="D334" s="26"/>
      <c r="E334" s="10"/>
      <c r="F334" s="27">
        <f>Source!AL133</f>
        <v>22.69</v>
      </c>
      <c r="G334" s="28" t="str">
        <f>Source!DD133</f>
        <v/>
      </c>
      <c r="H334" s="27">
        <f>ROUND(Source!AC133*Source!I133, 2)</f>
        <v>6.81</v>
      </c>
      <c r="I334" s="28"/>
      <c r="J334" s="28">
        <f>IF(Source!BC133&lt;&gt; 0, Source!BC133, 1)</f>
        <v>6.13</v>
      </c>
      <c r="K334" s="27">
        <f>Source!P133</f>
        <v>41.73</v>
      </c>
      <c r="L334" s="29"/>
    </row>
    <row r="335" spans="1:26" ht="14.25" x14ac:dyDescent="0.2">
      <c r="A335" s="42"/>
      <c r="B335" s="43"/>
      <c r="C335" s="43" t="s">
        <v>1304</v>
      </c>
      <c r="D335" s="26" t="s">
        <v>1305</v>
      </c>
      <c r="E335" s="10">
        <f>Source!BZ133</f>
        <v>95</v>
      </c>
      <c r="F335" s="46"/>
      <c r="G335" s="28"/>
      <c r="H335" s="27">
        <f>SUM(S329:S338)</f>
        <v>20.48</v>
      </c>
      <c r="I335" s="31"/>
      <c r="J335" s="25">
        <f>Source!AT133</f>
        <v>95</v>
      </c>
      <c r="K335" s="27">
        <f>SUM(T329:T338)</f>
        <v>125.56</v>
      </c>
      <c r="L335" s="29"/>
    </row>
    <row r="336" spans="1:26" ht="14.25" x14ac:dyDescent="0.2">
      <c r="A336" s="42"/>
      <c r="B336" s="43"/>
      <c r="C336" s="43" t="s">
        <v>1306</v>
      </c>
      <c r="D336" s="26" t="s">
        <v>1305</v>
      </c>
      <c r="E336" s="10">
        <f>Source!CA133</f>
        <v>65</v>
      </c>
      <c r="F336" s="46"/>
      <c r="G336" s="28"/>
      <c r="H336" s="27">
        <f>SUM(U329:U338)</f>
        <v>14.01</v>
      </c>
      <c r="I336" s="31"/>
      <c r="J336" s="25">
        <f>Source!AU133</f>
        <v>65</v>
      </c>
      <c r="K336" s="27">
        <f>SUM(V329:V338)</f>
        <v>85.91</v>
      </c>
      <c r="L336" s="29"/>
    </row>
    <row r="337" spans="1:26" ht="14.25" x14ac:dyDescent="0.2">
      <c r="A337" s="42"/>
      <c r="B337" s="43"/>
      <c r="C337" s="43" t="s">
        <v>1307</v>
      </c>
      <c r="D337" s="26" t="s">
        <v>1308</v>
      </c>
      <c r="E337" s="10">
        <f>Source!AQ133</f>
        <v>6.29</v>
      </c>
      <c r="F337" s="27"/>
      <c r="G337" s="28" t="str">
        <f>Source!DI133</f>
        <v>)*1,2</v>
      </c>
      <c r="H337" s="27"/>
      <c r="I337" s="28"/>
      <c r="J337" s="28"/>
      <c r="K337" s="27"/>
      <c r="L337" s="38">
        <f>Source!U133</f>
        <v>2.2643999999999997</v>
      </c>
    </row>
    <row r="338" spans="1:26" ht="85.5" x14ac:dyDescent="0.2">
      <c r="A338" s="44" t="str">
        <f>Source!E134</f>
        <v>28,1</v>
      </c>
      <c r="B338" s="45" t="str">
        <f>Source!F134</f>
        <v>21.1.06.09-0152</v>
      </c>
      <c r="C338" s="45" t="str">
        <f>Source!G134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338" s="32" t="str">
        <f>Source!H134</f>
        <v>1000 м</v>
      </c>
      <c r="E338" s="33">
        <f>Source!I134</f>
        <v>0.03</v>
      </c>
      <c r="F338" s="34">
        <f>Source!AL134+Source!AM134+Source!AO134</f>
        <v>6920.41</v>
      </c>
      <c r="G338" s="40" t="s">
        <v>3</v>
      </c>
      <c r="H338" s="34">
        <f>ROUND(Source!AC134*Source!I134, 2)+ROUND(Source!AD134*Source!I134, 2)+ROUND(Source!AF134*Source!I134, 2)</f>
        <v>207.61</v>
      </c>
      <c r="I338" s="35"/>
      <c r="J338" s="35">
        <f>IF(Source!BC134&lt;&gt; 0, Source!BC134, 1)</f>
        <v>6.13</v>
      </c>
      <c r="K338" s="34">
        <f>Source!O134</f>
        <v>1272.6600000000001</v>
      </c>
      <c r="L338" s="41"/>
      <c r="S338">
        <f>ROUND((Source!FX134/100)*((ROUND(Source!AF134*Source!I134, 2)+ROUND(Source!AE134*Source!I134, 2))), 2)</f>
        <v>0</v>
      </c>
      <c r="T338">
        <f>Source!X134</f>
        <v>0</v>
      </c>
      <c r="U338">
        <f>ROUND((Source!FY134/100)*((ROUND(Source!AF134*Source!I134, 2)+ROUND(Source!AE134*Source!I134, 2))), 2)</f>
        <v>0</v>
      </c>
      <c r="V338">
        <f>Source!Y134</f>
        <v>0</v>
      </c>
      <c r="W338">
        <f>IF(Source!BI134&lt;=1,H338, 0)</f>
        <v>0</v>
      </c>
      <c r="X338">
        <f>IF(Source!BI134=2,H338, 0)</f>
        <v>207.61</v>
      </c>
      <c r="Y338">
        <f>IF(Source!BI134=3,H338, 0)</f>
        <v>0</v>
      </c>
      <c r="Z338">
        <f>IF(Source!BI134=4,H338, 0)</f>
        <v>0</v>
      </c>
    </row>
    <row r="339" spans="1:26" ht="15" x14ac:dyDescent="0.25">
      <c r="G339" s="61">
        <f>H331+H332+H334+H335+H336+SUM(H338:H338)</f>
        <v>272.12</v>
      </c>
      <c r="H339" s="61"/>
      <c r="J339" s="61">
        <f>K331+K332+K334+K335+K336+SUM(K338:K338)</f>
        <v>1668.1100000000001</v>
      </c>
      <c r="K339" s="61"/>
      <c r="L339" s="37">
        <f>Source!U133</f>
        <v>2.2643999999999997</v>
      </c>
      <c r="O339" s="23">
        <f>G339</f>
        <v>272.12</v>
      </c>
      <c r="P339" s="23">
        <f>J339</f>
        <v>1668.1100000000001</v>
      </c>
      <c r="Q339" s="23">
        <f>L339</f>
        <v>2.2643999999999997</v>
      </c>
      <c r="W339">
        <f>IF(Source!BI133&lt;=1,H331+H332+H334+H335+H336, 0)</f>
        <v>0</v>
      </c>
      <c r="X339">
        <f>IF(Source!BI133=2,H331+H332+H334+H335+H336, 0)</f>
        <v>64.510000000000005</v>
      </c>
      <c r="Y339">
        <f>IF(Source!BI133=3,H331+H332+H334+H335+H336, 0)</f>
        <v>0</v>
      </c>
      <c r="Z339">
        <f>IF(Source!BI133=4,H331+H332+H334+H335+H336, 0)</f>
        <v>0</v>
      </c>
    </row>
    <row r="340" spans="1:26" ht="71.25" x14ac:dyDescent="0.2">
      <c r="A340" s="42" t="str">
        <f>Source!E135</f>
        <v>29</v>
      </c>
      <c r="B340" s="43" t="str">
        <f>Source!F135</f>
        <v>м08-02-412-04</v>
      </c>
      <c r="C340" s="43" t="str">
        <f>Source!G135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340" s="26" t="str">
        <f>Source!H135</f>
        <v>100 м</v>
      </c>
      <c r="E340" s="10">
        <f>Source!I135</f>
        <v>0.5</v>
      </c>
      <c r="F340" s="27">
        <f>Source!AL135+Source!AM135+Source!AO135</f>
        <v>131.31</v>
      </c>
      <c r="G340" s="28"/>
      <c r="H340" s="27"/>
      <c r="I340" s="28" t="str">
        <f>Source!BO135</f>
        <v/>
      </c>
      <c r="J340" s="28"/>
      <c r="K340" s="27"/>
      <c r="L340" s="29"/>
      <c r="S340">
        <f>ROUND((Source!FX135/100)*((ROUND(Source!AF135*Source!I135, 2)+ROUND(Source!AE135*Source!I135, 2))), 2)</f>
        <v>48.87</v>
      </c>
      <c r="T340">
        <f>Source!X135</f>
        <v>299.54000000000002</v>
      </c>
      <c r="U340">
        <f>ROUND((Source!FY135/100)*((ROUND(Source!AF135*Source!I135, 2)+ROUND(Source!AE135*Source!I135, 2))), 2)</f>
        <v>33.44</v>
      </c>
      <c r="V340">
        <f>Source!Y135</f>
        <v>204.95</v>
      </c>
    </row>
    <row r="341" spans="1:26" x14ac:dyDescent="0.2">
      <c r="C341" s="22" t="str">
        <f>"Объем: "&amp;Source!I135&amp;"=50/"&amp;"100"</f>
        <v>Объем: 0,5=50/100</v>
      </c>
    </row>
    <row r="342" spans="1:26" ht="14.25" x14ac:dyDescent="0.2">
      <c r="A342" s="42"/>
      <c r="B342" s="43"/>
      <c r="C342" s="43" t="s">
        <v>1302</v>
      </c>
      <c r="D342" s="26"/>
      <c r="E342" s="10"/>
      <c r="F342" s="27">
        <f>Source!AO135</f>
        <v>84.22</v>
      </c>
      <c r="G342" s="28" t="str">
        <f>Source!DG135</f>
        <v>)*1,2</v>
      </c>
      <c r="H342" s="27">
        <f>ROUND(Source!AF135*Source!I135, 2)</f>
        <v>50.53</v>
      </c>
      <c r="I342" s="28"/>
      <c r="J342" s="28">
        <f>IF(Source!BA135&lt;&gt; 0, Source!BA135, 1)</f>
        <v>6.13</v>
      </c>
      <c r="K342" s="27">
        <f>Source!S135</f>
        <v>309.75</v>
      </c>
      <c r="L342" s="29"/>
      <c r="R342">
        <f>H342</f>
        <v>50.53</v>
      </c>
    </row>
    <row r="343" spans="1:26" ht="14.25" x14ac:dyDescent="0.2">
      <c r="A343" s="42"/>
      <c r="B343" s="43"/>
      <c r="C343" s="43" t="s">
        <v>334</v>
      </c>
      <c r="D343" s="26"/>
      <c r="E343" s="10"/>
      <c r="F343" s="27">
        <f>Source!AM135</f>
        <v>10.66</v>
      </c>
      <c r="G343" s="28" t="str">
        <f>Source!DE135</f>
        <v>)*1,2</v>
      </c>
      <c r="H343" s="27">
        <f>ROUND(Source!AD135*Source!I135, 2)</f>
        <v>6.4</v>
      </c>
      <c r="I343" s="28"/>
      <c r="J343" s="28">
        <f>IF(Source!BB135&lt;&gt; 0, Source!BB135, 1)</f>
        <v>6.13</v>
      </c>
      <c r="K343" s="27">
        <f>Source!Q135</f>
        <v>39.200000000000003</v>
      </c>
      <c r="L343" s="29"/>
    </row>
    <row r="344" spans="1:26" ht="14.25" x14ac:dyDescent="0.2">
      <c r="A344" s="42"/>
      <c r="B344" s="43"/>
      <c r="C344" s="43" t="s">
        <v>1303</v>
      </c>
      <c r="D344" s="26"/>
      <c r="E344" s="10"/>
      <c r="F344" s="27">
        <f>Source!AN135</f>
        <v>1.51</v>
      </c>
      <c r="G344" s="28" t="str">
        <f>Source!DF135</f>
        <v>)*1,2</v>
      </c>
      <c r="H344" s="30">
        <f>ROUND(Source!AE135*Source!I135, 2)</f>
        <v>0.91</v>
      </c>
      <c r="I344" s="28"/>
      <c r="J344" s="28">
        <f>IF(Source!BS135&lt;&gt; 0, Source!BS135, 1)</f>
        <v>6.13</v>
      </c>
      <c r="K344" s="30">
        <f>Source!R135</f>
        <v>5.55</v>
      </c>
      <c r="L344" s="29"/>
      <c r="R344">
        <f>H344</f>
        <v>0.91</v>
      </c>
    </row>
    <row r="345" spans="1:26" ht="14.25" x14ac:dyDescent="0.2">
      <c r="A345" s="42"/>
      <c r="B345" s="43"/>
      <c r="C345" s="43" t="s">
        <v>1309</v>
      </c>
      <c r="D345" s="26"/>
      <c r="E345" s="10"/>
      <c r="F345" s="27">
        <f>Source!AL135</f>
        <v>36.43</v>
      </c>
      <c r="G345" s="28" t="str">
        <f>Source!DD135</f>
        <v/>
      </c>
      <c r="H345" s="27">
        <f>ROUND(Source!AC135*Source!I135, 2)</f>
        <v>18.22</v>
      </c>
      <c r="I345" s="28"/>
      <c r="J345" s="28">
        <f>IF(Source!BC135&lt;&gt; 0, Source!BC135, 1)</f>
        <v>6.13</v>
      </c>
      <c r="K345" s="27">
        <f>Source!P135</f>
        <v>111.66</v>
      </c>
      <c r="L345" s="29"/>
    </row>
    <row r="346" spans="1:26" ht="14.25" x14ac:dyDescent="0.2">
      <c r="A346" s="42"/>
      <c r="B346" s="43"/>
      <c r="C346" s="43" t="s">
        <v>1304</v>
      </c>
      <c r="D346" s="26" t="s">
        <v>1305</v>
      </c>
      <c r="E346" s="10">
        <f>Source!BZ135</f>
        <v>95</v>
      </c>
      <c r="F346" s="46"/>
      <c r="G346" s="28"/>
      <c r="H346" s="27">
        <f>SUM(S340:S349)</f>
        <v>48.87</v>
      </c>
      <c r="I346" s="31"/>
      <c r="J346" s="25">
        <f>Source!AT135</f>
        <v>95</v>
      </c>
      <c r="K346" s="27">
        <f>SUM(T340:T349)</f>
        <v>299.54000000000002</v>
      </c>
      <c r="L346" s="29"/>
    </row>
    <row r="347" spans="1:26" ht="14.25" x14ac:dyDescent="0.2">
      <c r="A347" s="42"/>
      <c r="B347" s="43"/>
      <c r="C347" s="43" t="s">
        <v>1306</v>
      </c>
      <c r="D347" s="26" t="s">
        <v>1305</v>
      </c>
      <c r="E347" s="10">
        <f>Source!CA135</f>
        <v>65</v>
      </c>
      <c r="F347" s="46"/>
      <c r="G347" s="28"/>
      <c r="H347" s="27">
        <f>SUM(U340:U349)</f>
        <v>33.44</v>
      </c>
      <c r="I347" s="31"/>
      <c r="J347" s="25">
        <f>Source!AU135</f>
        <v>65</v>
      </c>
      <c r="K347" s="27">
        <f>SUM(V340:V349)</f>
        <v>204.95</v>
      </c>
      <c r="L347" s="29"/>
    </row>
    <row r="348" spans="1:26" ht="14.25" x14ac:dyDescent="0.2">
      <c r="A348" s="42"/>
      <c r="B348" s="43"/>
      <c r="C348" s="43" t="s">
        <v>1307</v>
      </c>
      <c r="D348" s="26" t="s">
        <v>1308</v>
      </c>
      <c r="E348" s="10">
        <f>Source!AQ135</f>
        <v>8.9600000000000009</v>
      </c>
      <c r="F348" s="27"/>
      <c r="G348" s="28" t="str">
        <f>Source!DI135</f>
        <v>)*1,2</v>
      </c>
      <c r="H348" s="27"/>
      <c r="I348" s="28"/>
      <c r="J348" s="28"/>
      <c r="K348" s="27"/>
      <c r="L348" s="38">
        <f>Source!U135</f>
        <v>5.3760000000000003</v>
      </c>
    </row>
    <row r="349" spans="1:26" ht="85.5" x14ac:dyDescent="0.2">
      <c r="A349" s="44" t="str">
        <f>Source!E136</f>
        <v>29,1</v>
      </c>
      <c r="B349" s="45" t="str">
        <f>Source!F136</f>
        <v>21.1.06.09-0177</v>
      </c>
      <c r="C349" s="45" t="str">
        <f>Source!G136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349" s="32" t="str">
        <f>Source!H136</f>
        <v>1000 м</v>
      </c>
      <c r="E349" s="33">
        <f>Source!I136</f>
        <v>0.05</v>
      </c>
      <c r="F349" s="34">
        <f>Source!AL136+Source!AM136+Source!AO136</f>
        <v>18047.849999999999</v>
      </c>
      <c r="G349" s="40" t="s">
        <v>3</v>
      </c>
      <c r="H349" s="34">
        <f>ROUND(Source!AC136*Source!I136, 2)+ROUND(Source!AD136*Source!I136, 2)+ROUND(Source!AF136*Source!I136, 2)</f>
        <v>902.39</v>
      </c>
      <c r="I349" s="35"/>
      <c r="J349" s="35">
        <f>IF(Source!BC136&lt;&gt; 0, Source!BC136, 1)</f>
        <v>6.13</v>
      </c>
      <c r="K349" s="34">
        <f>Source!O136</f>
        <v>5531.67</v>
      </c>
      <c r="L349" s="41"/>
      <c r="S349">
        <f>ROUND((Source!FX136/100)*((ROUND(Source!AF136*Source!I136, 2)+ROUND(Source!AE136*Source!I136, 2))), 2)</f>
        <v>0</v>
      </c>
      <c r="T349">
        <f>Source!X136</f>
        <v>0</v>
      </c>
      <c r="U349">
        <f>ROUND((Source!FY136/100)*((ROUND(Source!AF136*Source!I136, 2)+ROUND(Source!AE136*Source!I136, 2))), 2)</f>
        <v>0</v>
      </c>
      <c r="V349">
        <f>Source!Y136</f>
        <v>0</v>
      </c>
      <c r="W349">
        <f>IF(Source!BI136&lt;=1,H349, 0)</f>
        <v>0</v>
      </c>
      <c r="X349">
        <f>IF(Source!BI136=2,H349, 0)</f>
        <v>902.39</v>
      </c>
      <c r="Y349">
        <f>IF(Source!BI136=3,H349, 0)</f>
        <v>0</v>
      </c>
      <c r="Z349">
        <f>IF(Source!BI136=4,H349, 0)</f>
        <v>0</v>
      </c>
    </row>
    <row r="350" spans="1:26" ht="15" x14ac:dyDescent="0.25">
      <c r="G350" s="61">
        <f>H342+H343+H345+H346+H347+SUM(H349:H349)</f>
        <v>1059.8499999999999</v>
      </c>
      <c r="H350" s="61"/>
      <c r="J350" s="61">
        <f>K342+K343+K345+K346+K347+SUM(K349:K349)</f>
        <v>6496.77</v>
      </c>
      <c r="K350" s="61"/>
      <c r="L350" s="37">
        <f>Source!U135</f>
        <v>5.3760000000000003</v>
      </c>
      <c r="O350" s="23">
        <f>G350</f>
        <v>1059.8499999999999</v>
      </c>
      <c r="P350" s="23">
        <f>J350</f>
        <v>6496.77</v>
      </c>
      <c r="Q350" s="23">
        <f>L350</f>
        <v>5.3760000000000003</v>
      </c>
      <c r="W350">
        <f>IF(Source!BI135&lt;=1,H342+H343+H345+H346+H347, 0)</f>
        <v>0</v>
      </c>
      <c r="X350">
        <f>IF(Source!BI135=2,H342+H343+H345+H346+H347, 0)</f>
        <v>157.46</v>
      </c>
      <c r="Y350">
        <f>IF(Source!BI135=3,H342+H343+H345+H346+H347, 0)</f>
        <v>0</v>
      </c>
      <c r="Z350">
        <f>IF(Source!BI135=4,H342+H343+H345+H346+H347, 0)</f>
        <v>0</v>
      </c>
    </row>
    <row r="351" spans="1:26" ht="42.75" x14ac:dyDescent="0.2">
      <c r="A351" s="42" t="str">
        <f>Source!E137</f>
        <v>30</v>
      </c>
      <c r="B351" s="43" t="str">
        <f>Source!F137</f>
        <v>м08-02-403-03</v>
      </c>
      <c r="C351" s="43" t="str">
        <f>Source!G137</f>
        <v>Прокладка кабеля  в защитной оболочке  трех-пятижильный под штукатурку по стенам или в бороздах</v>
      </c>
      <c r="D351" s="26" t="str">
        <f>Source!H137</f>
        <v>100 м</v>
      </c>
      <c r="E351" s="10">
        <f>Source!I137</f>
        <v>0.74</v>
      </c>
      <c r="F351" s="27">
        <f>Source!AL137+Source!AM137+Source!AO137</f>
        <v>199.73</v>
      </c>
      <c r="G351" s="28"/>
      <c r="H351" s="27"/>
      <c r="I351" s="28" t="str">
        <f>Source!BO137</f>
        <v/>
      </c>
      <c r="J351" s="28"/>
      <c r="K351" s="27"/>
      <c r="L351" s="29"/>
      <c r="S351">
        <f>ROUND((Source!FX137/100)*((ROUND(Source!AF137*Source!I137, 2)+ROUND(Source!AE137*Source!I137, 2))), 2)</f>
        <v>131.26</v>
      </c>
      <c r="T351">
        <f>Source!X137</f>
        <v>804.65</v>
      </c>
      <c r="U351">
        <f>ROUND((Source!FY137/100)*((ROUND(Source!AF137*Source!I137, 2)+ROUND(Source!AE137*Source!I137, 2))), 2)</f>
        <v>89.81</v>
      </c>
      <c r="V351">
        <f>Source!Y137</f>
        <v>550.54999999999995</v>
      </c>
    </row>
    <row r="352" spans="1:26" x14ac:dyDescent="0.2">
      <c r="C352" s="22" t="str">
        <f>"Объем: "&amp;Source!I137&amp;"=74/"&amp;"100"</f>
        <v>Объем: 0,74=74/100</v>
      </c>
    </row>
    <row r="353" spans="1:26" ht="14.25" x14ac:dyDescent="0.2">
      <c r="A353" s="42"/>
      <c r="B353" s="43"/>
      <c r="C353" s="43" t="s">
        <v>1302</v>
      </c>
      <c r="D353" s="26"/>
      <c r="E353" s="10"/>
      <c r="F353" s="27">
        <f>Source!AO137</f>
        <v>155.1</v>
      </c>
      <c r="G353" s="28" t="str">
        <f>Source!DG137</f>
        <v>)*1,2</v>
      </c>
      <c r="H353" s="27">
        <f>ROUND(Source!AF137*Source!I137, 2)</f>
        <v>137.72999999999999</v>
      </c>
      <c r="I353" s="28"/>
      <c r="J353" s="28">
        <f>IF(Source!BA137&lt;&gt; 0, Source!BA137, 1)</f>
        <v>6.13</v>
      </c>
      <c r="K353" s="27">
        <f>Source!S137</f>
        <v>844.28</v>
      </c>
      <c r="L353" s="29"/>
      <c r="R353">
        <f>H353</f>
        <v>137.72999999999999</v>
      </c>
    </row>
    <row r="354" spans="1:26" ht="14.25" x14ac:dyDescent="0.2">
      <c r="A354" s="42"/>
      <c r="B354" s="43"/>
      <c r="C354" s="43" t="s">
        <v>334</v>
      </c>
      <c r="D354" s="26"/>
      <c r="E354" s="10"/>
      <c r="F354" s="27">
        <f>Source!AM137</f>
        <v>3.55</v>
      </c>
      <c r="G354" s="28" t="str">
        <f>Source!DE137</f>
        <v>)*1,2</v>
      </c>
      <c r="H354" s="27">
        <f>ROUND(Source!AD137*Source!I137, 2)</f>
        <v>3.15</v>
      </c>
      <c r="I354" s="28"/>
      <c r="J354" s="28">
        <f>IF(Source!BB137&lt;&gt; 0, Source!BB137, 1)</f>
        <v>6.13</v>
      </c>
      <c r="K354" s="27">
        <f>Source!Q137</f>
        <v>19.32</v>
      </c>
      <c r="L354" s="29"/>
    </row>
    <row r="355" spans="1:26" ht="14.25" x14ac:dyDescent="0.2">
      <c r="A355" s="42"/>
      <c r="B355" s="43"/>
      <c r="C355" s="43" t="s">
        <v>1303</v>
      </c>
      <c r="D355" s="26"/>
      <c r="E355" s="10"/>
      <c r="F355" s="27">
        <f>Source!AN137</f>
        <v>0.5</v>
      </c>
      <c r="G355" s="28" t="str">
        <f>Source!DF137</f>
        <v>)*1,2</v>
      </c>
      <c r="H355" s="30">
        <f>ROUND(Source!AE137*Source!I137, 2)</f>
        <v>0.44</v>
      </c>
      <c r="I355" s="28"/>
      <c r="J355" s="28">
        <f>IF(Source!BS137&lt;&gt; 0, Source!BS137, 1)</f>
        <v>6.13</v>
      </c>
      <c r="K355" s="30">
        <f>Source!R137</f>
        <v>2.72</v>
      </c>
      <c r="L355" s="29"/>
      <c r="R355">
        <f>H355</f>
        <v>0.44</v>
      </c>
    </row>
    <row r="356" spans="1:26" ht="14.25" x14ac:dyDescent="0.2">
      <c r="A356" s="42"/>
      <c r="B356" s="43"/>
      <c r="C356" s="43" t="s">
        <v>1309</v>
      </c>
      <c r="D356" s="26"/>
      <c r="E356" s="10"/>
      <c r="F356" s="27">
        <f>Source!AL137</f>
        <v>41.08</v>
      </c>
      <c r="G356" s="28" t="str">
        <f>Source!DD137</f>
        <v/>
      </c>
      <c r="H356" s="27">
        <f>ROUND(Source!AC137*Source!I137, 2)</f>
        <v>30.4</v>
      </c>
      <c r="I356" s="28"/>
      <c r="J356" s="28">
        <f>IF(Source!BC137&lt;&gt; 0, Source!BC137, 1)</f>
        <v>6.13</v>
      </c>
      <c r="K356" s="27">
        <f>Source!P137</f>
        <v>186.35</v>
      </c>
      <c r="L356" s="29"/>
    </row>
    <row r="357" spans="1:26" ht="14.25" x14ac:dyDescent="0.2">
      <c r="A357" s="42"/>
      <c r="B357" s="43"/>
      <c r="C357" s="43" t="s">
        <v>1304</v>
      </c>
      <c r="D357" s="26" t="s">
        <v>1305</v>
      </c>
      <c r="E357" s="10">
        <f>Source!BZ137</f>
        <v>95</v>
      </c>
      <c r="F357" s="46"/>
      <c r="G357" s="28"/>
      <c r="H357" s="27">
        <f>SUM(S351:S360)</f>
        <v>131.26</v>
      </c>
      <c r="I357" s="31"/>
      <c r="J357" s="25">
        <f>Source!AT137</f>
        <v>95</v>
      </c>
      <c r="K357" s="27">
        <f>SUM(T351:T360)</f>
        <v>804.65</v>
      </c>
      <c r="L357" s="29"/>
    </row>
    <row r="358" spans="1:26" ht="14.25" x14ac:dyDescent="0.2">
      <c r="A358" s="42"/>
      <c r="B358" s="43"/>
      <c r="C358" s="43" t="s">
        <v>1306</v>
      </c>
      <c r="D358" s="26" t="s">
        <v>1305</v>
      </c>
      <c r="E358" s="10">
        <f>Source!CA137</f>
        <v>65</v>
      </c>
      <c r="F358" s="46"/>
      <c r="G358" s="28"/>
      <c r="H358" s="27">
        <f>SUM(U351:U360)</f>
        <v>89.81</v>
      </c>
      <c r="I358" s="31"/>
      <c r="J358" s="25">
        <f>Source!AU137</f>
        <v>65</v>
      </c>
      <c r="K358" s="27">
        <f>SUM(V351:V360)</f>
        <v>550.54999999999995</v>
      </c>
      <c r="L358" s="29"/>
    </row>
    <row r="359" spans="1:26" ht="14.25" x14ac:dyDescent="0.2">
      <c r="A359" s="42"/>
      <c r="B359" s="43"/>
      <c r="C359" s="43" t="s">
        <v>1307</v>
      </c>
      <c r="D359" s="26" t="s">
        <v>1308</v>
      </c>
      <c r="E359" s="10">
        <f>Source!AQ137</f>
        <v>16.5</v>
      </c>
      <c r="F359" s="27"/>
      <c r="G359" s="28" t="str">
        <f>Source!DI137</f>
        <v>)*1,2</v>
      </c>
      <c r="H359" s="27"/>
      <c r="I359" s="28"/>
      <c r="J359" s="28"/>
      <c r="K359" s="27"/>
      <c r="L359" s="38">
        <f>Source!U137</f>
        <v>14.652000000000001</v>
      </c>
    </row>
    <row r="360" spans="1:26" ht="85.5" x14ac:dyDescent="0.2">
      <c r="A360" s="44" t="str">
        <f>Source!E138</f>
        <v>30,1</v>
      </c>
      <c r="B360" s="45" t="str">
        <f>Source!F138</f>
        <v>21.1.06.09-0177</v>
      </c>
      <c r="C360" s="45" t="str">
        <f>Source!G138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360" s="32" t="str">
        <f>Source!H138</f>
        <v>1000 м</v>
      </c>
      <c r="E360" s="33">
        <f>Source!I138</f>
        <v>7.3999999999999996E-2</v>
      </c>
      <c r="F360" s="34">
        <f>Source!AL138+Source!AM138+Source!AO138</f>
        <v>18047.849999999999</v>
      </c>
      <c r="G360" s="40" t="s">
        <v>3</v>
      </c>
      <c r="H360" s="34">
        <f>ROUND(Source!AC138*Source!I138, 2)+ROUND(Source!AD138*Source!I138, 2)+ROUND(Source!AF138*Source!I138, 2)</f>
        <v>1335.54</v>
      </c>
      <c r="I360" s="35"/>
      <c r="J360" s="35">
        <f>IF(Source!BC138&lt;&gt; 0, Source!BC138, 1)</f>
        <v>6.13</v>
      </c>
      <c r="K360" s="34">
        <f>Source!O138</f>
        <v>8186.87</v>
      </c>
      <c r="L360" s="41"/>
      <c r="S360">
        <f>ROUND((Source!FX138/100)*((ROUND(Source!AF138*Source!I138, 2)+ROUND(Source!AE138*Source!I138, 2))), 2)</f>
        <v>0</v>
      </c>
      <c r="T360">
        <f>Source!X138</f>
        <v>0</v>
      </c>
      <c r="U360">
        <f>ROUND((Source!FY138/100)*((ROUND(Source!AF138*Source!I138, 2)+ROUND(Source!AE138*Source!I138, 2))), 2)</f>
        <v>0</v>
      </c>
      <c r="V360">
        <f>Source!Y138</f>
        <v>0</v>
      </c>
      <c r="W360">
        <f>IF(Source!BI138&lt;=1,H360, 0)</f>
        <v>0</v>
      </c>
      <c r="X360">
        <f>IF(Source!BI138=2,H360, 0)</f>
        <v>1335.54</v>
      </c>
      <c r="Y360">
        <f>IF(Source!BI138=3,H360, 0)</f>
        <v>0</v>
      </c>
      <c r="Z360">
        <f>IF(Source!BI138=4,H360, 0)</f>
        <v>0</v>
      </c>
    </row>
    <row r="361" spans="1:26" ht="15" x14ac:dyDescent="0.25">
      <c r="G361" s="61">
        <f>H353+H354+H356+H357+H358+SUM(H360:H360)</f>
        <v>1727.8899999999999</v>
      </c>
      <c r="H361" s="61"/>
      <c r="J361" s="61">
        <f>K353+K354+K356+K357+K358+SUM(K360:K360)</f>
        <v>10592.02</v>
      </c>
      <c r="K361" s="61"/>
      <c r="L361" s="37">
        <f>Source!U137</f>
        <v>14.652000000000001</v>
      </c>
      <c r="O361" s="23">
        <f>G361</f>
        <v>1727.8899999999999</v>
      </c>
      <c r="P361" s="23">
        <f>J361</f>
        <v>10592.02</v>
      </c>
      <c r="Q361" s="23">
        <f>L361</f>
        <v>14.652000000000001</v>
      </c>
      <c r="W361">
        <f>IF(Source!BI137&lt;=1,H353+H354+H356+H357+H358, 0)</f>
        <v>0</v>
      </c>
      <c r="X361">
        <f>IF(Source!BI137=2,H353+H354+H356+H357+H358, 0)</f>
        <v>392.34999999999997</v>
      </c>
      <c r="Y361">
        <f>IF(Source!BI137=3,H353+H354+H356+H357+H358, 0)</f>
        <v>0</v>
      </c>
      <c r="Z361">
        <f>IF(Source!BI137=4,H353+H354+H356+H357+H358, 0)</f>
        <v>0</v>
      </c>
    </row>
    <row r="362" spans="1:26" ht="28.5" x14ac:dyDescent="0.2">
      <c r="A362" s="42" t="str">
        <f>Source!E139</f>
        <v>31</v>
      </c>
      <c r="B362" s="43" t="str">
        <f>Source!F139</f>
        <v>м08-02-399-02</v>
      </c>
      <c r="C362" s="43" t="str">
        <f>Source!G139</f>
        <v>Прокладка  кабеля в коробах, сечением до 35 мм2</v>
      </c>
      <c r="D362" s="26" t="str">
        <f>Source!H139</f>
        <v>100 м</v>
      </c>
      <c r="E362" s="10">
        <f>Source!I139</f>
        <v>0.96</v>
      </c>
      <c r="F362" s="27">
        <f>Source!AL139+Source!AM139+Source!AO139</f>
        <v>50.72</v>
      </c>
      <c r="G362" s="28"/>
      <c r="H362" s="27"/>
      <c r="I362" s="28" t="str">
        <f>Source!BO139</f>
        <v/>
      </c>
      <c r="J362" s="28"/>
      <c r="K362" s="27"/>
      <c r="L362" s="29"/>
      <c r="S362">
        <f>ROUND((Source!FX139/100)*((ROUND(Source!AF139*Source!I139, 2)+ROUND(Source!AE139*Source!I139, 2))), 2)</f>
        <v>38.96</v>
      </c>
      <c r="T362">
        <f>Source!X139</f>
        <v>238.82</v>
      </c>
      <c r="U362">
        <f>ROUND((Source!FY139/100)*((ROUND(Source!AF139*Source!I139, 2)+ROUND(Source!AE139*Source!I139, 2))), 2)</f>
        <v>26.66</v>
      </c>
      <c r="V362">
        <f>Source!Y139</f>
        <v>163.4</v>
      </c>
    </row>
    <row r="363" spans="1:26" x14ac:dyDescent="0.2">
      <c r="C363" s="22" t="str">
        <f>"Объем: "&amp;Source!I139&amp;"=96/"&amp;"100"</f>
        <v>Объем: 0,96=96/100</v>
      </c>
    </row>
    <row r="364" spans="1:26" ht="14.25" x14ac:dyDescent="0.2">
      <c r="A364" s="42"/>
      <c r="B364" s="43"/>
      <c r="C364" s="43" t="s">
        <v>1302</v>
      </c>
      <c r="D364" s="26"/>
      <c r="E364" s="10"/>
      <c r="F364" s="27">
        <f>Source!AO139</f>
        <v>35.340000000000003</v>
      </c>
      <c r="G364" s="28" t="str">
        <f>Source!DG139</f>
        <v>)*1,2</v>
      </c>
      <c r="H364" s="27">
        <f>ROUND(Source!AF139*Source!I139, 2)</f>
        <v>40.71</v>
      </c>
      <c r="I364" s="28"/>
      <c r="J364" s="28">
        <f>IF(Source!BA139&lt;&gt; 0, Source!BA139, 1)</f>
        <v>6.13</v>
      </c>
      <c r="K364" s="27">
        <f>Source!S139</f>
        <v>249.57</v>
      </c>
      <c r="L364" s="29"/>
      <c r="R364">
        <f>H364</f>
        <v>40.71</v>
      </c>
    </row>
    <row r="365" spans="1:26" ht="14.25" x14ac:dyDescent="0.2">
      <c r="A365" s="42"/>
      <c r="B365" s="43"/>
      <c r="C365" s="43" t="s">
        <v>334</v>
      </c>
      <c r="D365" s="26"/>
      <c r="E365" s="10"/>
      <c r="F365" s="27">
        <f>Source!AM139</f>
        <v>1.78</v>
      </c>
      <c r="G365" s="28" t="str">
        <f>Source!DE139</f>
        <v>)*1,2</v>
      </c>
      <c r="H365" s="27">
        <f>ROUND(Source!AD139*Source!I139, 2)</f>
        <v>2.04</v>
      </c>
      <c r="I365" s="28"/>
      <c r="J365" s="28">
        <f>IF(Source!BB139&lt;&gt; 0, Source!BB139, 1)</f>
        <v>6.13</v>
      </c>
      <c r="K365" s="27">
        <f>Source!Q139</f>
        <v>12.53</v>
      </c>
      <c r="L365" s="29"/>
    </row>
    <row r="366" spans="1:26" ht="14.25" x14ac:dyDescent="0.2">
      <c r="A366" s="42"/>
      <c r="B366" s="43"/>
      <c r="C366" s="43" t="s">
        <v>1303</v>
      </c>
      <c r="D366" s="26"/>
      <c r="E366" s="10"/>
      <c r="F366" s="27">
        <f>Source!AN139</f>
        <v>0.26</v>
      </c>
      <c r="G366" s="28" t="str">
        <f>Source!DF139</f>
        <v>)*1,2</v>
      </c>
      <c r="H366" s="30">
        <f>ROUND(Source!AE139*Source!I139, 2)</f>
        <v>0.3</v>
      </c>
      <c r="I366" s="28"/>
      <c r="J366" s="28">
        <f>IF(Source!BS139&lt;&gt; 0, Source!BS139, 1)</f>
        <v>6.13</v>
      </c>
      <c r="K366" s="30">
        <f>Source!R139</f>
        <v>1.82</v>
      </c>
      <c r="L366" s="29"/>
      <c r="R366">
        <f>H366</f>
        <v>0.3</v>
      </c>
    </row>
    <row r="367" spans="1:26" ht="14.25" x14ac:dyDescent="0.2">
      <c r="A367" s="42"/>
      <c r="B367" s="43"/>
      <c r="C367" s="43" t="s">
        <v>1309</v>
      </c>
      <c r="D367" s="26"/>
      <c r="E367" s="10"/>
      <c r="F367" s="27">
        <f>Source!AL139</f>
        <v>13.6</v>
      </c>
      <c r="G367" s="28" t="str">
        <f>Source!DD139</f>
        <v/>
      </c>
      <c r="H367" s="27">
        <f>ROUND(Source!AC139*Source!I139, 2)</f>
        <v>13.06</v>
      </c>
      <c r="I367" s="28"/>
      <c r="J367" s="28">
        <f>IF(Source!BC139&lt;&gt; 0, Source!BC139, 1)</f>
        <v>6.13</v>
      </c>
      <c r="K367" s="27">
        <f>Source!P139</f>
        <v>80.03</v>
      </c>
      <c r="L367" s="29"/>
    </row>
    <row r="368" spans="1:26" ht="14.25" x14ac:dyDescent="0.2">
      <c r="A368" s="42"/>
      <c r="B368" s="43"/>
      <c r="C368" s="43" t="s">
        <v>1304</v>
      </c>
      <c r="D368" s="26" t="s">
        <v>1305</v>
      </c>
      <c r="E368" s="10">
        <f>Source!BZ139</f>
        <v>95</v>
      </c>
      <c r="F368" s="46"/>
      <c r="G368" s="28"/>
      <c r="H368" s="27">
        <f>SUM(S362:S371)</f>
        <v>38.96</v>
      </c>
      <c r="I368" s="31"/>
      <c r="J368" s="25">
        <f>Source!AT139</f>
        <v>95</v>
      </c>
      <c r="K368" s="27">
        <f>SUM(T362:T371)</f>
        <v>238.82</v>
      </c>
      <c r="L368" s="29"/>
    </row>
    <row r="369" spans="1:26" ht="14.25" x14ac:dyDescent="0.2">
      <c r="A369" s="42"/>
      <c r="B369" s="43"/>
      <c r="C369" s="43" t="s">
        <v>1306</v>
      </c>
      <c r="D369" s="26" t="s">
        <v>1305</v>
      </c>
      <c r="E369" s="10">
        <f>Source!CA139</f>
        <v>65</v>
      </c>
      <c r="F369" s="46"/>
      <c r="G369" s="28"/>
      <c r="H369" s="27">
        <f>SUM(U362:U371)</f>
        <v>26.66</v>
      </c>
      <c r="I369" s="31"/>
      <c r="J369" s="25">
        <f>Source!AU139</f>
        <v>65</v>
      </c>
      <c r="K369" s="27">
        <f>SUM(V362:V371)</f>
        <v>163.4</v>
      </c>
      <c r="L369" s="29"/>
    </row>
    <row r="370" spans="1:26" ht="14.25" x14ac:dyDescent="0.2">
      <c r="A370" s="42"/>
      <c r="B370" s="43"/>
      <c r="C370" s="43" t="s">
        <v>1307</v>
      </c>
      <c r="D370" s="26" t="s">
        <v>1308</v>
      </c>
      <c r="E370" s="10">
        <f>Source!AQ139</f>
        <v>3.76</v>
      </c>
      <c r="F370" s="27"/>
      <c r="G370" s="28" t="str">
        <f>Source!DI139</f>
        <v>)*1,2</v>
      </c>
      <c r="H370" s="27"/>
      <c r="I370" s="28"/>
      <c r="J370" s="28"/>
      <c r="K370" s="27"/>
      <c r="L370" s="38">
        <f>Source!U139</f>
        <v>4.3315199999999994</v>
      </c>
    </row>
    <row r="371" spans="1:26" ht="85.5" x14ac:dyDescent="0.2">
      <c r="A371" s="44" t="str">
        <f>Source!E140</f>
        <v>31,1</v>
      </c>
      <c r="B371" s="45" t="str">
        <f>Source!F140</f>
        <v>21.1.06.09-0177</v>
      </c>
      <c r="C371" s="45" t="str">
        <f>Source!G140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371" s="32" t="str">
        <f>Source!H140</f>
        <v>1000 м</v>
      </c>
      <c r="E371" s="33">
        <f>Source!I140</f>
        <v>9.6000000000000002E-2</v>
      </c>
      <c r="F371" s="34">
        <f>Source!AL140+Source!AM140+Source!AO140</f>
        <v>18047.849999999999</v>
      </c>
      <c r="G371" s="40" t="s">
        <v>3</v>
      </c>
      <c r="H371" s="34">
        <f>ROUND(Source!AC140*Source!I140, 2)+ROUND(Source!AD140*Source!I140, 2)+ROUND(Source!AF140*Source!I140, 2)</f>
        <v>1732.59</v>
      </c>
      <c r="I371" s="35"/>
      <c r="J371" s="35">
        <f>IF(Source!BC140&lt;&gt; 0, Source!BC140, 1)</f>
        <v>6.13</v>
      </c>
      <c r="K371" s="34">
        <f>Source!O140</f>
        <v>10620.8</v>
      </c>
      <c r="L371" s="41"/>
      <c r="S371">
        <f>ROUND((Source!FX140/100)*((ROUND(Source!AF140*Source!I140, 2)+ROUND(Source!AE140*Source!I140, 2))), 2)</f>
        <v>0</v>
      </c>
      <c r="T371">
        <f>Source!X140</f>
        <v>0</v>
      </c>
      <c r="U371">
        <f>ROUND((Source!FY140/100)*((ROUND(Source!AF140*Source!I140, 2)+ROUND(Source!AE140*Source!I140, 2))), 2)</f>
        <v>0</v>
      </c>
      <c r="V371">
        <f>Source!Y140</f>
        <v>0</v>
      </c>
      <c r="W371">
        <f>IF(Source!BI140&lt;=1,H371, 0)</f>
        <v>0</v>
      </c>
      <c r="X371">
        <f>IF(Source!BI140=2,H371, 0)</f>
        <v>1732.59</v>
      </c>
      <c r="Y371">
        <f>IF(Source!BI140=3,H371, 0)</f>
        <v>0</v>
      </c>
      <c r="Z371">
        <f>IF(Source!BI140=4,H371, 0)</f>
        <v>0</v>
      </c>
    </row>
    <row r="372" spans="1:26" ht="15" x14ac:dyDescent="0.25">
      <c r="G372" s="61">
        <f>H364+H365+H367+H368+H369+SUM(H371:H371)</f>
        <v>1854.02</v>
      </c>
      <c r="H372" s="61"/>
      <c r="J372" s="61">
        <f>K364+K365+K367+K368+K369+SUM(K371:K371)</f>
        <v>11365.15</v>
      </c>
      <c r="K372" s="61"/>
      <c r="L372" s="37">
        <f>Source!U139</f>
        <v>4.3315199999999994</v>
      </c>
      <c r="O372" s="23">
        <f>G372</f>
        <v>1854.02</v>
      </c>
      <c r="P372" s="23">
        <f>J372</f>
        <v>11365.15</v>
      </c>
      <c r="Q372" s="23">
        <f>L372</f>
        <v>4.3315199999999994</v>
      </c>
      <c r="W372">
        <f>IF(Source!BI139&lt;=1,H364+H365+H367+H368+H369, 0)</f>
        <v>0</v>
      </c>
      <c r="X372">
        <f>IF(Source!BI139=2,H364+H365+H367+H368+H369, 0)</f>
        <v>121.43</v>
      </c>
      <c r="Y372">
        <f>IF(Source!BI139=3,H364+H365+H367+H368+H369, 0)</f>
        <v>0</v>
      </c>
      <c r="Z372">
        <f>IF(Source!BI139=4,H364+H365+H367+H368+H369, 0)</f>
        <v>0</v>
      </c>
    </row>
    <row r="373" spans="1:26" ht="14.25" x14ac:dyDescent="0.2">
      <c r="A373" s="42" t="str">
        <f>Source!E141</f>
        <v>32</v>
      </c>
      <c r="B373" s="43" t="str">
        <f>Source!F141</f>
        <v>м10-08-019-01</v>
      </c>
      <c r="C373" s="43" t="str">
        <f>Source!G141</f>
        <v>Коробка ответвительная на стене</v>
      </c>
      <c r="D373" s="26" t="str">
        <f>Source!H141</f>
        <v>ШТ</v>
      </c>
      <c r="E373" s="10">
        <f>Source!I141</f>
        <v>1.2</v>
      </c>
      <c r="F373" s="27">
        <f>Source!AL141+Source!AM141+Source!AO141</f>
        <v>5.29</v>
      </c>
      <c r="G373" s="28"/>
      <c r="H373" s="27"/>
      <c r="I373" s="28" t="str">
        <f>Source!BO141</f>
        <v/>
      </c>
      <c r="J373" s="28"/>
      <c r="K373" s="27"/>
      <c r="L373" s="29"/>
      <c r="S373">
        <f>ROUND((Source!FX141/100)*((ROUND(Source!AF141*Source!I141, 2)+ROUND(Source!AE141*Source!I141, 2))), 2)</f>
        <v>4.6900000000000004</v>
      </c>
      <c r="T373">
        <f>Source!X141</f>
        <v>28.72</v>
      </c>
      <c r="U373">
        <f>ROUND((Source!FY141/100)*((ROUND(Source!AF141*Source!I141, 2)+ROUND(Source!AE141*Source!I141, 2))), 2)</f>
        <v>3.52</v>
      </c>
      <c r="V373">
        <f>Source!Y141</f>
        <v>21.54</v>
      </c>
    </row>
    <row r="374" spans="1:26" ht="14.25" x14ac:dyDescent="0.2">
      <c r="A374" s="42"/>
      <c r="B374" s="43"/>
      <c r="C374" s="43" t="s">
        <v>1302</v>
      </c>
      <c r="D374" s="26"/>
      <c r="E374" s="10"/>
      <c r="F374" s="27">
        <f>Source!AO141</f>
        <v>4.88</v>
      </c>
      <c r="G374" s="28" t="str">
        <f>Source!DG141</f>
        <v/>
      </c>
      <c r="H374" s="27">
        <f>ROUND(Source!AF141*Source!I141, 2)</f>
        <v>5.86</v>
      </c>
      <c r="I374" s="28"/>
      <c r="J374" s="28">
        <f>IF(Source!BA141&lt;&gt; 0, Source!BA141, 1)</f>
        <v>6.13</v>
      </c>
      <c r="K374" s="27">
        <f>Source!S141</f>
        <v>35.9</v>
      </c>
      <c r="L374" s="29"/>
      <c r="R374">
        <f>H374</f>
        <v>5.86</v>
      </c>
    </row>
    <row r="375" spans="1:26" ht="14.25" x14ac:dyDescent="0.2">
      <c r="A375" s="42"/>
      <c r="B375" s="43"/>
      <c r="C375" s="43" t="s">
        <v>1309</v>
      </c>
      <c r="D375" s="26"/>
      <c r="E375" s="10"/>
      <c r="F375" s="27">
        <f>Source!AL141</f>
        <v>0.41</v>
      </c>
      <c r="G375" s="28" t="str">
        <f>Source!DD141</f>
        <v/>
      </c>
      <c r="H375" s="27">
        <f>ROUND(Source!AC141*Source!I141, 2)</f>
        <v>0.49</v>
      </c>
      <c r="I375" s="28"/>
      <c r="J375" s="28">
        <f>IF(Source!BC141&lt;&gt; 0, Source!BC141, 1)</f>
        <v>6.13</v>
      </c>
      <c r="K375" s="27">
        <f>Source!P141</f>
        <v>3.02</v>
      </c>
      <c r="L375" s="29"/>
    </row>
    <row r="376" spans="1:26" ht="14.25" x14ac:dyDescent="0.2">
      <c r="A376" s="42"/>
      <c r="B376" s="43"/>
      <c r="C376" s="43" t="s">
        <v>1304</v>
      </c>
      <c r="D376" s="26" t="s">
        <v>1305</v>
      </c>
      <c r="E376" s="10">
        <f>Source!BZ141</f>
        <v>80</v>
      </c>
      <c r="F376" s="46"/>
      <c r="G376" s="28"/>
      <c r="H376" s="27">
        <f>SUM(S373:S379)</f>
        <v>4.6900000000000004</v>
      </c>
      <c r="I376" s="31"/>
      <c r="J376" s="25">
        <f>Source!AT141</f>
        <v>80</v>
      </c>
      <c r="K376" s="27">
        <f>SUM(T373:T379)</f>
        <v>28.72</v>
      </c>
      <c r="L376" s="29"/>
    </row>
    <row r="377" spans="1:26" ht="14.25" x14ac:dyDescent="0.2">
      <c r="A377" s="42"/>
      <c r="B377" s="43"/>
      <c r="C377" s="43" t="s">
        <v>1306</v>
      </c>
      <c r="D377" s="26" t="s">
        <v>1305</v>
      </c>
      <c r="E377" s="10">
        <f>Source!CA141</f>
        <v>60</v>
      </c>
      <c r="F377" s="46"/>
      <c r="G377" s="28"/>
      <c r="H377" s="27">
        <f>SUM(U373:U379)</f>
        <v>3.52</v>
      </c>
      <c r="I377" s="31"/>
      <c r="J377" s="25">
        <f>Source!AU141</f>
        <v>60</v>
      </c>
      <c r="K377" s="27">
        <f>SUM(V373:V379)</f>
        <v>21.54</v>
      </c>
      <c r="L377" s="29"/>
    </row>
    <row r="378" spans="1:26" ht="14.25" x14ac:dyDescent="0.2">
      <c r="A378" s="42"/>
      <c r="B378" s="43"/>
      <c r="C378" s="43" t="s">
        <v>1307</v>
      </c>
      <c r="D378" s="26" t="s">
        <v>1308</v>
      </c>
      <c r="E378" s="10">
        <f>Source!AQ141</f>
        <v>0.5</v>
      </c>
      <c r="F378" s="27"/>
      <c r="G378" s="28" t="str">
        <f>Source!DI141</f>
        <v/>
      </c>
      <c r="H378" s="27"/>
      <c r="I378" s="28"/>
      <c r="J378" s="28"/>
      <c r="K378" s="27"/>
      <c r="L378" s="38">
        <f>Source!U141</f>
        <v>0.6</v>
      </c>
    </row>
    <row r="379" spans="1:26" ht="14.25" x14ac:dyDescent="0.2">
      <c r="A379" s="44" t="str">
        <f>Source!E142</f>
        <v>32,1</v>
      </c>
      <c r="B379" s="45" t="str">
        <f>Source!F142</f>
        <v>20.5.02.06-0035</v>
      </c>
      <c r="C379" s="45" t="str">
        <f>Source!G142</f>
        <v>Разветвительная коробка У-196</v>
      </c>
      <c r="D379" s="32" t="str">
        <f>Source!H142</f>
        <v>10 шт.</v>
      </c>
      <c r="E379" s="33">
        <f>Source!I142</f>
        <v>0.12</v>
      </c>
      <c r="F379" s="34">
        <f>Source!AL142+Source!AM142+Source!AO142</f>
        <v>34.200000000000003</v>
      </c>
      <c r="G379" s="40" t="s">
        <v>3</v>
      </c>
      <c r="H379" s="34">
        <f>ROUND(Source!AC142*Source!I142, 2)+ROUND(Source!AD142*Source!I142, 2)+ROUND(Source!AF142*Source!I142, 2)</f>
        <v>4.0999999999999996</v>
      </c>
      <c r="I379" s="35"/>
      <c r="J379" s="35">
        <f>IF(Source!BC142&lt;&gt; 0, Source!BC142, 1)</f>
        <v>6.13</v>
      </c>
      <c r="K379" s="34">
        <f>Source!O142</f>
        <v>25.16</v>
      </c>
      <c r="L379" s="41"/>
      <c r="S379">
        <f>ROUND((Source!FX142/100)*((ROUND(Source!AF142*Source!I142, 2)+ROUND(Source!AE142*Source!I142, 2))), 2)</f>
        <v>0</v>
      </c>
      <c r="T379">
        <f>Source!X142</f>
        <v>0</v>
      </c>
      <c r="U379">
        <f>ROUND((Source!FY142/100)*((ROUND(Source!AF142*Source!I142, 2)+ROUND(Source!AE142*Source!I142, 2))), 2)</f>
        <v>0</v>
      </c>
      <c r="V379">
        <f>Source!Y142</f>
        <v>0</v>
      </c>
      <c r="W379">
        <f>IF(Source!BI142&lt;=1,H379, 0)</f>
        <v>0</v>
      </c>
      <c r="X379">
        <f>IF(Source!BI142=2,H379, 0)</f>
        <v>4.0999999999999996</v>
      </c>
      <c r="Y379">
        <f>IF(Source!BI142=3,H379, 0)</f>
        <v>0</v>
      </c>
      <c r="Z379">
        <f>IF(Source!BI142=4,H379, 0)</f>
        <v>0</v>
      </c>
    </row>
    <row r="380" spans="1:26" ht="15" x14ac:dyDescent="0.25">
      <c r="G380" s="61">
        <f>H374+H375+H376+H377+SUM(H379:H379)</f>
        <v>18.66</v>
      </c>
      <c r="H380" s="61"/>
      <c r="J380" s="61">
        <f>K374+K375+K376+K377+SUM(K379:K379)</f>
        <v>114.34</v>
      </c>
      <c r="K380" s="61"/>
      <c r="L380" s="37">
        <f>Source!U141</f>
        <v>0.6</v>
      </c>
      <c r="O380" s="23">
        <f>G380</f>
        <v>18.66</v>
      </c>
      <c r="P380" s="23">
        <f>J380</f>
        <v>114.34</v>
      </c>
      <c r="Q380" s="23">
        <f>L380</f>
        <v>0.6</v>
      </c>
      <c r="W380">
        <f>IF(Source!BI141&lt;=1,H374+H375+H376+H377, 0)</f>
        <v>0</v>
      </c>
      <c r="X380">
        <f>IF(Source!BI141=2,H374+H375+H376+H377, 0)</f>
        <v>14.56</v>
      </c>
      <c r="Y380">
        <f>IF(Source!BI141=3,H374+H375+H376+H377, 0)</f>
        <v>0</v>
      </c>
      <c r="Z380">
        <f>IF(Source!BI141=4,H374+H375+H376+H377, 0)</f>
        <v>0</v>
      </c>
    </row>
    <row r="381" spans="1:26" ht="28.5" x14ac:dyDescent="0.2">
      <c r="A381" s="42" t="str">
        <f>Source!E143</f>
        <v>33</v>
      </c>
      <c r="B381" s="43" t="str">
        <f>Source!F143</f>
        <v>м08-02-370-02</v>
      </c>
      <c r="C381" s="43" t="str">
        <f>Source!G143</f>
        <v>Щиток до трех групп, устанавливаемый в нише цоколя</v>
      </c>
      <c r="D381" s="26" t="str">
        <f>Source!H143</f>
        <v>ШТ</v>
      </c>
      <c r="E381" s="10">
        <f>Source!I143</f>
        <v>4</v>
      </c>
      <c r="F381" s="27">
        <f>Source!AL143+Source!AM143+Source!AO143</f>
        <v>33.42</v>
      </c>
      <c r="G381" s="28"/>
      <c r="H381" s="27"/>
      <c r="I381" s="28" t="str">
        <f>Source!BO143</f>
        <v/>
      </c>
      <c r="J381" s="28"/>
      <c r="K381" s="27"/>
      <c r="L381" s="29"/>
      <c r="S381">
        <f>ROUND((Source!FX143/100)*((ROUND(Source!AF143*Source!I143, 2)+ROUND(Source!AE143*Source!I143, 2))), 2)</f>
        <v>54.53</v>
      </c>
      <c r="T381">
        <f>Source!X143</f>
        <v>334.28</v>
      </c>
      <c r="U381">
        <f>ROUND((Source!FY143/100)*((ROUND(Source!AF143*Source!I143, 2)+ROUND(Source!AE143*Source!I143, 2))), 2)</f>
        <v>37.31</v>
      </c>
      <c r="V381">
        <f>Source!Y143</f>
        <v>228.72</v>
      </c>
    </row>
    <row r="382" spans="1:26" ht="14.25" x14ac:dyDescent="0.2">
      <c r="A382" s="42"/>
      <c r="B382" s="43"/>
      <c r="C382" s="43" t="s">
        <v>1302</v>
      </c>
      <c r="D382" s="26"/>
      <c r="E382" s="10"/>
      <c r="F382" s="27">
        <f>Source!AO143</f>
        <v>9.4499999999999993</v>
      </c>
      <c r="G382" s="28" t="str">
        <f>Source!DG143</f>
        <v>)*1,2</v>
      </c>
      <c r="H382" s="27">
        <f>ROUND(Source!AF143*Source!I143, 2)</f>
        <v>45.36</v>
      </c>
      <c r="I382" s="28"/>
      <c r="J382" s="28">
        <f>IF(Source!BA143&lt;&gt; 0, Source!BA143, 1)</f>
        <v>6.13</v>
      </c>
      <c r="K382" s="27">
        <f>Source!S143</f>
        <v>278.06</v>
      </c>
      <c r="L382" s="29"/>
      <c r="R382">
        <f>H382</f>
        <v>45.36</v>
      </c>
    </row>
    <row r="383" spans="1:26" ht="14.25" x14ac:dyDescent="0.2">
      <c r="A383" s="42"/>
      <c r="B383" s="43"/>
      <c r="C383" s="43" t="s">
        <v>334</v>
      </c>
      <c r="D383" s="26"/>
      <c r="E383" s="10"/>
      <c r="F383" s="27">
        <f>Source!AM143</f>
        <v>17.77</v>
      </c>
      <c r="G383" s="28" t="str">
        <f>Source!DE143</f>
        <v>)*1,2</v>
      </c>
      <c r="H383" s="27">
        <f>ROUND(Source!AD143*Source!I143, 2)</f>
        <v>85.28</v>
      </c>
      <c r="I383" s="28"/>
      <c r="J383" s="28">
        <f>IF(Source!BB143&lt;&gt; 0, Source!BB143, 1)</f>
        <v>6.13</v>
      </c>
      <c r="K383" s="27">
        <f>Source!Q143</f>
        <v>522.77</v>
      </c>
      <c r="L383" s="29"/>
    </row>
    <row r="384" spans="1:26" ht="14.25" x14ac:dyDescent="0.2">
      <c r="A384" s="42"/>
      <c r="B384" s="43"/>
      <c r="C384" s="43" t="s">
        <v>1303</v>
      </c>
      <c r="D384" s="26"/>
      <c r="E384" s="10"/>
      <c r="F384" s="27">
        <f>Source!AN143</f>
        <v>2.5099999999999998</v>
      </c>
      <c r="G384" s="28" t="str">
        <f>Source!DF143</f>
        <v>)*1,2</v>
      </c>
      <c r="H384" s="30">
        <f>ROUND(Source!AE143*Source!I143, 2)</f>
        <v>12.04</v>
      </c>
      <c r="I384" s="28"/>
      <c r="J384" s="28">
        <f>IF(Source!BS143&lt;&gt; 0, Source!BS143, 1)</f>
        <v>6.13</v>
      </c>
      <c r="K384" s="30">
        <f>Source!R143</f>
        <v>73.81</v>
      </c>
      <c r="L384" s="29"/>
      <c r="R384">
        <f>H384</f>
        <v>12.04</v>
      </c>
    </row>
    <row r="385" spans="1:26" ht="14.25" x14ac:dyDescent="0.2">
      <c r="A385" s="42"/>
      <c r="B385" s="43"/>
      <c r="C385" s="43" t="s">
        <v>1309</v>
      </c>
      <c r="D385" s="26"/>
      <c r="E385" s="10"/>
      <c r="F385" s="27">
        <f>Source!AL143</f>
        <v>6.2</v>
      </c>
      <c r="G385" s="28" t="str">
        <f>Source!DD143</f>
        <v/>
      </c>
      <c r="H385" s="27">
        <f>ROUND(Source!AC143*Source!I143, 2)</f>
        <v>24.8</v>
      </c>
      <c r="I385" s="28"/>
      <c r="J385" s="28">
        <f>IF(Source!BC143&lt;&gt; 0, Source!BC143, 1)</f>
        <v>6.13</v>
      </c>
      <c r="K385" s="27">
        <f>Source!P143</f>
        <v>152.02000000000001</v>
      </c>
      <c r="L385" s="29"/>
    </row>
    <row r="386" spans="1:26" ht="14.25" x14ac:dyDescent="0.2">
      <c r="A386" s="42"/>
      <c r="B386" s="43"/>
      <c r="C386" s="43" t="s">
        <v>1304</v>
      </c>
      <c r="D386" s="26" t="s">
        <v>1305</v>
      </c>
      <c r="E386" s="10">
        <f>Source!BZ143</f>
        <v>95</v>
      </c>
      <c r="F386" s="46"/>
      <c r="G386" s="28"/>
      <c r="H386" s="27">
        <f>SUM(S381:S390)</f>
        <v>54.53</v>
      </c>
      <c r="I386" s="31"/>
      <c r="J386" s="25">
        <f>Source!AT143</f>
        <v>95</v>
      </c>
      <c r="K386" s="27">
        <f>SUM(T381:T390)</f>
        <v>334.28</v>
      </c>
      <c r="L386" s="29"/>
    </row>
    <row r="387" spans="1:26" ht="14.25" x14ac:dyDescent="0.2">
      <c r="A387" s="42"/>
      <c r="B387" s="43"/>
      <c r="C387" s="43" t="s">
        <v>1306</v>
      </c>
      <c r="D387" s="26" t="s">
        <v>1305</v>
      </c>
      <c r="E387" s="10">
        <f>Source!CA143</f>
        <v>65</v>
      </c>
      <c r="F387" s="46"/>
      <c r="G387" s="28"/>
      <c r="H387" s="27">
        <f>SUM(U381:U390)</f>
        <v>37.31</v>
      </c>
      <c r="I387" s="31"/>
      <c r="J387" s="25">
        <f>Source!AU143</f>
        <v>65</v>
      </c>
      <c r="K387" s="27">
        <f>SUM(V381:V390)</f>
        <v>228.72</v>
      </c>
      <c r="L387" s="29"/>
    </row>
    <row r="388" spans="1:26" ht="14.25" x14ac:dyDescent="0.2">
      <c r="A388" s="42"/>
      <c r="B388" s="43"/>
      <c r="C388" s="43" t="s">
        <v>1307</v>
      </c>
      <c r="D388" s="26" t="s">
        <v>1308</v>
      </c>
      <c r="E388" s="10">
        <f>Source!AQ143</f>
        <v>0.9</v>
      </c>
      <c r="F388" s="27"/>
      <c r="G388" s="28" t="str">
        <f>Source!DI143</f>
        <v>)*1,2</v>
      </c>
      <c r="H388" s="27"/>
      <c r="I388" s="28"/>
      <c r="J388" s="28"/>
      <c r="K388" s="27"/>
      <c r="L388" s="38">
        <f>Source!U143</f>
        <v>4.32</v>
      </c>
    </row>
    <row r="389" spans="1:26" ht="42.75" x14ac:dyDescent="0.2">
      <c r="A389" s="42" t="str">
        <f>Source!E144</f>
        <v>33,1</v>
      </c>
      <c r="B389" s="43" t="str">
        <f>Source!F144</f>
        <v>20.4.04.02-0021</v>
      </c>
      <c r="C389" s="43" t="str">
        <f>Source!G144</f>
        <v>Щиты распределительные навесные ЩРН-9, размер корпуса 220х300х125 мм прим.</v>
      </c>
      <c r="D389" s="26" t="str">
        <f>Source!H144</f>
        <v>шт.</v>
      </c>
      <c r="E389" s="10">
        <f>Source!I144</f>
        <v>3</v>
      </c>
      <c r="F389" s="27">
        <f>Source!AL144+Source!AM144+Source!AO144</f>
        <v>181.15</v>
      </c>
      <c r="G389" s="39" t="s">
        <v>3</v>
      </c>
      <c r="H389" s="27">
        <f>ROUND(Source!AC144*Source!I144, 2)+ROUND(Source!AD144*Source!I144, 2)+ROUND(Source!AF144*Source!I144, 2)</f>
        <v>543.45000000000005</v>
      </c>
      <c r="I389" s="28"/>
      <c r="J389" s="28">
        <f>IF(Source!BC144&lt;&gt; 0, Source!BC144, 1)</f>
        <v>6.13</v>
      </c>
      <c r="K389" s="27">
        <f>Source!O144</f>
        <v>3331.35</v>
      </c>
      <c r="L389" s="29"/>
      <c r="S389">
        <f>ROUND((Source!FX144/100)*((ROUND(Source!AF144*Source!I144, 2)+ROUND(Source!AE144*Source!I144, 2))), 2)</f>
        <v>0</v>
      </c>
      <c r="T389">
        <f>Source!X144</f>
        <v>0</v>
      </c>
      <c r="U389">
        <f>ROUND((Source!FY144/100)*((ROUND(Source!AF144*Source!I144, 2)+ROUND(Source!AE144*Source!I144, 2))), 2)</f>
        <v>0</v>
      </c>
      <c r="V389">
        <f>Source!Y144</f>
        <v>0</v>
      </c>
      <c r="W389">
        <f>IF(Source!BI144&lt;=1,H389, 0)</f>
        <v>0</v>
      </c>
      <c r="X389">
        <f>IF(Source!BI144=2,H389, 0)</f>
        <v>543.45000000000005</v>
      </c>
      <c r="Y389">
        <f>IF(Source!BI144=3,H389, 0)</f>
        <v>0</v>
      </c>
      <c r="Z389">
        <f>IF(Source!BI144=4,H389, 0)</f>
        <v>0</v>
      </c>
    </row>
    <row r="390" spans="1:26" ht="42.75" x14ac:dyDescent="0.2">
      <c r="A390" s="44" t="str">
        <f>Source!E145</f>
        <v>33,2</v>
      </c>
      <c r="B390" s="45" t="str">
        <f>Source!F145</f>
        <v>20.4.04.02-0023</v>
      </c>
      <c r="C390" s="45" t="str">
        <f>Source!G145</f>
        <v>Щиты распределительные навесные ЩРН-18, размер корпуса 350х300х125 мм прим.</v>
      </c>
      <c r="D390" s="32" t="str">
        <f>Source!H145</f>
        <v>шт.</v>
      </c>
      <c r="E390" s="33">
        <f>Source!I145</f>
        <v>1</v>
      </c>
      <c r="F390" s="34">
        <f>Source!AL145+Source!AM145+Source!AO145</f>
        <v>220.92</v>
      </c>
      <c r="G390" s="40" t="s">
        <v>3</v>
      </c>
      <c r="H390" s="34">
        <f>ROUND(Source!AC145*Source!I145, 2)+ROUND(Source!AD145*Source!I145, 2)+ROUND(Source!AF145*Source!I145, 2)</f>
        <v>220.92</v>
      </c>
      <c r="I390" s="35"/>
      <c r="J390" s="35">
        <f>IF(Source!BC145&lt;&gt; 0, Source!BC145, 1)</f>
        <v>6.13</v>
      </c>
      <c r="K390" s="34">
        <f>Source!O145</f>
        <v>1354.24</v>
      </c>
      <c r="L390" s="41"/>
      <c r="S390">
        <f>ROUND((Source!FX145/100)*((ROUND(Source!AF145*Source!I145, 2)+ROUND(Source!AE145*Source!I145, 2))), 2)</f>
        <v>0</v>
      </c>
      <c r="T390">
        <f>Source!X145</f>
        <v>0</v>
      </c>
      <c r="U390">
        <f>ROUND((Source!FY145/100)*((ROUND(Source!AF145*Source!I145, 2)+ROUND(Source!AE145*Source!I145, 2))), 2)</f>
        <v>0</v>
      </c>
      <c r="V390">
        <f>Source!Y145</f>
        <v>0</v>
      </c>
      <c r="W390">
        <f>IF(Source!BI145&lt;=1,H390, 0)</f>
        <v>0</v>
      </c>
      <c r="X390">
        <f>IF(Source!BI145=2,H390, 0)</f>
        <v>220.92</v>
      </c>
      <c r="Y390">
        <f>IF(Source!BI145=3,H390, 0)</f>
        <v>0</v>
      </c>
      <c r="Z390">
        <f>IF(Source!BI145=4,H390, 0)</f>
        <v>0</v>
      </c>
    </row>
    <row r="391" spans="1:26" ht="15" x14ac:dyDescent="0.25">
      <c r="G391" s="61">
        <f>H382+H383+H385+H386+H387+SUM(H389:H390)</f>
        <v>1011.65</v>
      </c>
      <c r="H391" s="61"/>
      <c r="J391" s="61">
        <f>K382+K383+K385+K386+K387+SUM(K389:K390)</f>
        <v>6201.4400000000005</v>
      </c>
      <c r="K391" s="61"/>
      <c r="L391" s="37">
        <f>Source!U143</f>
        <v>4.32</v>
      </c>
      <c r="O391" s="23">
        <f>G391</f>
        <v>1011.65</v>
      </c>
      <c r="P391" s="23">
        <f>J391</f>
        <v>6201.4400000000005</v>
      </c>
      <c r="Q391" s="23">
        <f>L391</f>
        <v>4.32</v>
      </c>
      <c r="W391">
        <f>IF(Source!BI143&lt;=1,H382+H383+H385+H386+H387, 0)</f>
        <v>0</v>
      </c>
      <c r="X391">
        <f>IF(Source!BI143=2,H382+H383+H385+H386+H387, 0)</f>
        <v>247.28</v>
      </c>
      <c r="Y391">
        <f>IF(Source!BI143=3,H382+H383+H385+H386+H387, 0)</f>
        <v>0</v>
      </c>
      <c r="Z391">
        <f>IF(Source!BI143=4,H382+H383+H385+H386+H387, 0)</f>
        <v>0</v>
      </c>
    </row>
    <row r="392" spans="1:26" ht="28.5" x14ac:dyDescent="0.2">
      <c r="A392" s="42" t="str">
        <f>Source!E146</f>
        <v>34</v>
      </c>
      <c r="B392" s="43" t="str">
        <f>Source!F146</f>
        <v>м08-03-591-08</v>
      </c>
      <c r="C392" s="43" t="str">
        <f>Source!G146</f>
        <v>Розетка штепсельная неутопленного типа при открытой проводке</v>
      </c>
      <c r="D392" s="26" t="str">
        <f>Source!H146</f>
        <v>100 ШТ</v>
      </c>
      <c r="E392" s="10">
        <f>Source!I146</f>
        <v>0.12</v>
      </c>
      <c r="F392" s="27">
        <f>Source!AL146+Source!AM146+Source!AO146</f>
        <v>453.92999999999995</v>
      </c>
      <c r="G392" s="28"/>
      <c r="H392" s="27"/>
      <c r="I392" s="28" t="str">
        <f>Source!BO146</f>
        <v/>
      </c>
      <c r="J392" s="28"/>
      <c r="K392" s="27"/>
      <c r="L392" s="29"/>
      <c r="S392">
        <f>ROUND((Source!FX146/100)*((ROUND(Source!AF146*Source!I146, 2)+ROUND(Source!AE146*Source!I146, 2))), 2)</f>
        <v>46.99</v>
      </c>
      <c r="T392">
        <f>Source!X146</f>
        <v>288.04000000000002</v>
      </c>
      <c r="U392">
        <f>ROUND((Source!FY146/100)*((ROUND(Source!AF146*Source!I146, 2)+ROUND(Source!AE146*Source!I146, 2))), 2)</f>
        <v>32.15</v>
      </c>
      <c r="V392">
        <f>Source!Y146</f>
        <v>197.08</v>
      </c>
    </row>
    <row r="393" spans="1:26" x14ac:dyDescent="0.2">
      <c r="C393" s="22" t="str">
        <f>"Объем: "&amp;Source!I146&amp;"=12/"&amp;"100"</f>
        <v>Объем: 0,12=12/100</v>
      </c>
    </row>
    <row r="394" spans="1:26" ht="14.25" x14ac:dyDescent="0.2">
      <c r="A394" s="42"/>
      <c r="B394" s="43"/>
      <c r="C394" s="43" t="s">
        <v>1302</v>
      </c>
      <c r="D394" s="26"/>
      <c r="E394" s="10"/>
      <c r="F394" s="27">
        <f>Source!AO146</f>
        <v>342.84</v>
      </c>
      <c r="G394" s="28" t="str">
        <f>Source!DG146</f>
        <v>)*1,2</v>
      </c>
      <c r="H394" s="27">
        <f>ROUND(Source!AF146*Source!I146, 2)</f>
        <v>49.37</v>
      </c>
      <c r="I394" s="28"/>
      <c r="J394" s="28">
        <f>IF(Source!BA146&lt;&gt; 0, Source!BA146, 1)</f>
        <v>6.13</v>
      </c>
      <c r="K394" s="27">
        <f>Source!S146</f>
        <v>302.63</v>
      </c>
      <c r="L394" s="29"/>
      <c r="R394">
        <f>H394</f>
        <v>49.37</v>
      </c>
    </row>
    <row r="395" spans="1:26" ht="14.25" x14ac:dyDescent="0.2">
      <c r="A395" s="42"/>
      <c r="B395" s="43"/>
      <c r="C395" s="43" t="s">
        <v>334</v>
      </c>
      <c r="D395" s="26"/>
      <c r="E395" s="10"/>
      <c r="F395" s="27">
        <f>Source!AM146</f>
        <v>4.67</v>
      </c>
      <c r="G395" s="28" t="str">
        <f>Source!DE146</f>
        <v>)*1,2</v>
      </c>
      <c r="H395" s="27">
        <f>ROUND(Source!AD146*Source!I146, 2)</f>
        <v>0.67</v>
      </c>
      <c r="I395" s="28"/>
      <c r="J395" s="28">
        <f>IF(Source!BB146&lt;&gt; 0, Source!BB146, 1)</f>
        <v>6.13</v>
      </c>
      <c r="K395" s="27">
        <f>Source!Q146</f>
        <v>4.13</v>
      </c>
      <c r="L395" s="29"/>
    </row>
    <row r="396" spans="1:26" ht="14.25" x14ac:dyDescent="0.2">
      <c r="A396" s="42"/>
      <c r="B396" s="43"/>
      <c r="C396" s="43" t="s">
        <v>1303</v>
      </c>
      <c r="D396" s="26"/>
      <c r="E396" s="10"/>
      <c r="F396" s="27">
        <f>Source!AN146</f>
        <v>0.64</v>
      </c>
      <c r="G396" s="28" t="str">
        <f>Source!DF146</f>
        <v>)*1,2</v>
      </c>
      <c r="H396" s="30">
        <f>ROUND(Source!AE146*Source!I146, 2)</f>
        <v>0.09</v>
      </c>
      <c r="I396" s="28"/>
      <c r="J396" s="28">
        <f>IF(Source!BS146&lt;&gt; 0, Source!BS146, 1)</f>
        <v>6.13</v>
      </c>
      <c r="K396" s="30">
        <f>Source!R146</f>
        <v>0.56999999999999995</v>
      </c>
      <c r="L396" s="29"/>
      <c r="R396">
        <f>H396</f>
        <v>0.09</v>
      </c>
    </row>
    <row r="397" spans="1:26" ht="14.25" x14ac:dyDescent="0.2">
      <c r="A397" s="42"/>
      <c r="B397" s="43"/>
      <c r="C397" s="43" t="s">
        <v>1309</v>
      </c>
      <c r="D397" s="26"/>
      <c r="E397" s="10"/>
      <c r="F397" s="27">
        <f>Source!AL146</f>
        <v>106.42</v>
      </c>
      <c r="G397" s="28" t="str">
        <f>Source!DD146</f>
        <v/>
      </c>
      <c r="H397" s="27">
        <f>ROUND(Source!AC146*Source!I146, 2)</f>
        <v>12.77</v>
      </c>
      <c r="I397" s="28"/>
      <c r="J397" s="28">
        <f>IF(Source!BC146&lt;&gt; 0, Source!BC146, 1)</f>
        <v>6.13</v>
      </c>
      <c r="K397" s="27">
        <f>Source!P146</f>
        <v>78.28</v>
      </c>
      <c r="L397" s="29"/>
    </row>
    <row r="398" spans="1:26" ht="14.25" x14ac:dyDescent="0.2">
      <c r="A398" s="42"/>
      <c r="B398" s="43"/>
      <c r="C398" s="43" t="s">
        <v>1304</v>
      </c>
      <c r="D398" s="26" t="s">
        <v>1305</v>
      </c>
      <c r="E398" s="10">
        <f>Source!BZ146</f>
        <v>95</v>
      </c>
      <c r="F398" s="46"/>
      <c r="G398" s="28"/>
      <c r="H398" s="27">
        <f>SUM(S392:S401)</f>
        <v>46.99</v>
      </c>
      <c r="I398" s="31"/>
      <c r="J398" s="25">
        <f>Source!AT146</f>
        <v>95</v>
      </c>
      <c r="K398" s="27">
        <f>SUM(T392:T401)</f>
        <v>288.04000000000002</v>
      </c>
      <c r="L398" s="29"/>
    </row>
    <row r="399" spans="1:26" ht="14.25" x14ac:dyDescent="0.2">
      <c r="A399" s="42"/>
      <c r="B399" s="43"/>
      <c r="C399" s="43" t="s">
        <v>1306</v>
      </c>
      <c r="D399" s="26" t="s">
        <v>1305</v>
      </c>
      <c r="E399" s="10">
        <f>Source!CA146</f>
        <v>65</v>
      </c>
      <c r="F399" s="46"/>
      <c r="G399" s="28"/>
      <c r="H399" s="27">
        <f>SUM(U392:U401)</f>
        <v>32.15</v>
      </c>
      <c r="I399" s="31"/>
      <c r="J399" s="25">
        <f>Source!AU146</f>
        <v>65</v>
      </c>
      <c r="K399" s="27">
        <f>SUM(V392:V401)</f>
        <v>197.08</v>
      </c>
      <c r="L399" s="29"/>
    </row>
    <row r="400" spans="1:26" ht="14.25" x14ac:dyDescent="0.2">
      <c r="A400" s="42"/>
      <c r="B400" s="43"/>
      <c r="C400" s="43" t="s">
        <v>1307</v>
      </c>
      <c r="D400" s="26" t="s">
        <v>1308</v>
      </c>
      <c r="E400" s="10">
        <f>Source!AQ146</f>
        <v>34.56</v>
      </c>
      <c r="F400" s="27"/>
      <c r="G400" s="28" t="str">
        <f>Source!DI146</f>
        <v>)*1,2</v>
      </c>
      <c r="H400" s="27"/>
      <c r="I400" s="28"/>
      <c r="J400" s="28"/>
      <c r="K400" s="27"/>
      <c r="L400" s="38">
        <f>Source!U146</f>
        <v>4.9766399999999997</v>
      </c>
    </row>
    <row r="401" spans="1:26" ht="42.75" x14ac:dyDescent="0.2">
      <c r="A401" s="44" t="str">
        <f>Source!E147</f>
        <v>34,1</v>
      </c>
      <c r="B401" s="45" t="str">
        <f>Source!F147</f>
        <v>20.4.03.05-0003</v>
      </c>
      <c r="C401" s="45" t="str">
        <f>Source!G147</f>
        <v>Розетка открытой проводки двухгнездная с заземлением согласно тех. заданию</v>
      </c>
      <c r="D401" s="32" t="str">
        <f>Source!H147</f>
        <v>100 шт.</v>
      </c>
      <c r="E401" s="33">
        <f>Source!I147</f>
        <v>0.12</v>
      </c>
      <c r="F401" s="34">
        <f>Source!AL147+Source!AM147+Source!AO147</f>
        <v>2202</v>
      </c>
      <c r="G401" s="40" t="s">
        <v>3</v>
      </c>
      <c r="H401" s="34">
        <f>ROUND(Source!AC147*Source!I147, 2)+ROUND(Source!AD147*Source!I147, 2)+ROUND(Source!AF147*Source!I147, 2)</f>
        <v>264.24</v>
      </c>
      <c r="I401" s="35"/>
      <c r="J401" s="35">
        <f>IF(Source!BC147&lt;&gt; 0, Source!BC147, 1)</f>
        <v>6.13</v>
      </c>
      <c r="K401" s="34">
        <f>Source!O147</f>
        <v>1619.79</v>
      </c>
      <c r="L401" s="41"/>
      <c r="S401">
        <f>ROUND((Source!FX147/100)*((ROUND(Source!AF147*Source!I147, 2)+ROUND(Source!AE147*Source!I147, 2))), 2)</f>
        <v>0</v>
      </c>
      <c r="T401">
        <f>Source!X147</f>
        <v>0</v>
      </c>
      <c r="U401">
        <f>ROUND((Source!FY147/100)*((ROUND(Source!AF147*Source!I147, 2)+ROUND(Source!AE147*Source!I147, 2))), 2)</f>
        <v>0</v>
      </c>
      <c r="V401">
        <f>Source!Y147</f>
        <v>0</v>
      </c>
      <c r="W401">
        <f>IF(Source!BI147&lt;=1,H401, 0)</f>
        <v>0</v>
      </c>
      <c r="X401">
        <f>IF(Source!BI147=2,H401, 0)</f>
        <v>264.24</v>
      </c>
      <c r="Y401">
        <f>IF(Source!BI147=3,H401, 0)</f>
        <v>0</v>
      </c>
      <c r="Z401">
        <f>IF(Source!BI147=4,H401, 0)</f>
        <v>0</v>
      </c>
    </row>
    <row r="402" spans="1:26" ht="15" x14ac:dyDescent="0.25">
      <c r="G402" s="61">
        <f>H394+H395+H397+H398+H399+SUM(H401:H401)</f>
        <v>406.19000000000005</v>
      </c>
      <c r="H402" s="61"/>
      <c r="J402" s="61">
        <f>K394+K395+K397+K398+K399+SUM(K401:K401)</f>
        <v>2489.9499999999998</v>
      </c>
      <c r="K402" s="61"/>
      <c r="L402" s="37">
        <f>Source!U146</f>
        <v>4.9766399999999997</v>
      </c>
      <c r="O402" s="23">
        <f>G402</f>
        <v>406.19000000000005</v>
      </c>
      <c r="P402" s="23">
        <f>J402</f>
        <v>2489.9499999999998</v>
      </c>
      <c r="Q402" s="23">
        <f>L402</f>
        <v>4.9766399999999997</v>
      </c>
      <c r="W402">
        <f>IF(Source!BI146&lt;=1,H394+H395+H397+H398+H399, 0)</f>
        <v>0</v>
      </c>
      <c r="X402">
        <f>IF(Source!BI146=2,H394+H395+H397+H398+H399, 0)</f>
        <v>141.95000000000002</v>
      </c>
      <c r="Y402">
        <f>IF(Source!BI146=3,H394+H395+H397+H398+H399, 0)</f>
        <v>0</v>
      </c>
      <c r="Z402">
        <f>IF(Source!BI146=4,H394+H395+H397+H398+H399, 0)</f>
        <v>0</v>
      </c>
    </row>
    <row r="403" spans="1:26" ht="42.75" x14ac:dyDescent="0.2">
      <c r="A403" s="42" t="str">
        <f>Source!E148</f>
        <v>35</v>
      </c>
      <c r="B403" s="43" t="str">
        <f>Source!F148</f>
        <v>м08-03-526-01</v>
      </c>
      <c r="C403" s="43" t="str">
        <f>Source!G148</f>
        <v>Автомат одно-, двух-, трехполюсный, устанавливаемый на конструкции на стене или колонне, на ток до 25 А</v>
      </c>
      <c r="D403" s="26" t="str">
        <f>Source!H148</f>
        <v>ШТ</v>
      </c>
      <c r="E403" s="10">
        <f>Source!I148</f>
        <v>20</v>
      </c>
      <c r="F403" s="27">
        <f>Source!AL148+Source!AM148+Source!AO148</f>
        <v>35.980000000000004</v>
      </c>
      <c r="G403" s="28"/>
      <c r="H403" s="27"/>
      <c r="I403" s="28" t="str">
        <f>Source!BO148</f>
        <v/>
      </c>
      <c r="J403" s="28"/>
      <c r="K403" s="27"/>
      <c r="L403" s="29"/>
      <c r="S403">
        <f>ROUND((Source!FX148/100)*((ROUND(Source!AF148*Source!I148, 2)+ROUND(Source!AE148*Source!I148, 2))), 2)</f>
        <v>338.39</v>
      </c>
      <c r="T403">
        <f>Source!X148</f>
        <v>2074.33</v>
      </c>
      <c r="U403">
        <f>ROUND((Source!FY148/100)*((ROUND(Source!AF148*Source!I148, 2)+ROUND(Source!AE148*Source!I148, 2))), 2)</f>
        <v>231.53</v>
      </c>
      <c r="V403">
        <f>Source!Y148</f>
        <v>1419.28</v>
      </c>
    </row>
    <row r="404" spans="1:26" ht="14.25" x14ac:dyDescent="0.2">
      <c r="A404" s="42"/>
      <c r="B404" s="43"/>
      <c r="C404" s="43" t="s">
        <v>1302</v>
      </c>
      <c r="D404" s="26"/>
      <c r="E404" s="10"/>
      <c r="F404" s="27">
        <f>Source!AO148</f>
        <v>14.84</v>
      </c>
      <c r="G404" s="28" t="str">
        <f>Source!DG148</f>
        <v>)*1,2</v>
      </c>
      <c r="H404" s="27">
        <f>ROUND(Source!AF148*Source!I148, 2)</f>
        <v>356.2</v>
      </c>
      <c r="I404" s="28"/>
      <c r="J404" s="28">
        <f>IF(Source!BA148&lt;&gt; 0, Source!BA148, 1)</f>
        <v>6.13</v>
      </c>
      <c r="K404" s="27">
        <f>Source!S148</f>
        <v>2183.5100000000002</v>
      </c>
      <c r="L404" s="29"/>
      <c r="R404">
        <f>H404</f>
        <v>356.2</v>
      </c>
    </row>
    <row r="405" spans="1:26" ht="14.25" x14ac:dyDescent="0.2">
      <c r="A405" s="42"/>
      <c r="B405" s="43"/>
      <c r="C405" s="43" t="s">
        <v>334</v>
      </c>
      <c r="D405" s="26"/>
      <c r="E405" s="10"/>
      <c r="F405" s="27">
        <f>Source!AM148</f>
        <v>1.05</v>
      </c>
      <c r="G405" s="28" t="str">
        <f>Source!DE148</f>
        <v>)*1,2</v>
      </c>
      <c r="H405" s="27">
        <f>ROUND(Source!AD148*Source!I148, 2)</f>
        <v>25.2</v>
      </c>
      <c r="I405" s="28"/>
      <c r="J405" s="28">
        <f>IF(Source!BB148&lt;&gt; 0, Source!BB148, 1)</f>
        <v>6.13</v>
      </c>
      <c r="K405" s="27">
        <f>Source!Q148</f>
        <v>154.47999999999999</v>
      </c>
      <c r="L405" s="29"/>
    </row>
    <row r="406" spans="1:26" ht="14.25" x14ac:dyDescent="0.2">
      <c r="A406" s="42"/>
      <c r="B406" s="43"/>
      <c r="C406" s="43" t="s">
        <v>1309</v>
      </c>
      <c r="D406" s="26"/>
      <c r="E406" s="10"/>
      <c r="F406" s="27">
        <f>Source!AL148</f>
        <v>20.09</v>
      </c>
      <c r="G406" s="28" t="str">
        <f>Source!DD148</f>
        <v/>
      </c>
      <c r="H406" s="27">
        <f>ROUND(Source!AC148*Source!I148, 2)</f>
        <v>401.8</v>
      </c>
      <c r="I406" s="28"/>
      <c r="J406" s="28">
        <f>IF(Source!BC148&lt;&gt; 0, Source!BC148, 1)</f>
        <v>6.13</v>
      </c>
      <c r="K406" s="27">
        <f>Source!P148</f>
        <v>2463.0300000000002</v>
      </c>
      <c r="L406" s="29"/>
    </row>
    <row r="407" spans="1:26" ht="14.25" x14ac:dyDescent="0.2">
      <c r="A407" s="42"/>
      <c r="B407" s="43"/>
      <c r="C407" s="43" t="s">
        <v>1304</v>
      </c>
      <c r="D407" s="26" t="s">
        <v>1305</v>
      </c>
      <c r="E407" s="10">
        <f>Source!BZ148</f>
        <v>95</v>
      </c>
      <c r="F407" s="46"/>
      <c r="G407" s="28"/>
      <c r="H407" s="27">
        <f>SUM(S403:S411)</f>
        <v>338.39</v>
      </c>
      <c r="I407" s="31"/>
      <c r="J407" s="25">
        <f>Source!AT148</f>
        <v>95</v>
      </c>
      <c r="K407" s="27">
        <f>SUM(T403:T411)</f>
        <v>2074.33</v>
      </c>
      <c r="L407" s="29"/>
    </row>
    <row r="408" spans="1:26" ht="14.25" x14ac:dyDescent="0.2">
      <c r="A408" s="42"/>
      <c r="B408" s="43"/>
      <c r="C408" s="43" t="s">
        <v>1306</v>
      </c>
      <c r="D408" s="26" t="s">
        <v>1305</v>
      </c>
      <c r="E408" s="10">
        <f>Source!CA148</f>
        <v>65</v>
      </c>
      <c r="F408" s="46"/>
      <c r="G408" s="28"/>
      <c r="H408" s="27">
        <f>SUM(U403:U411)</f>
        <v>231.53</v>
      </c>
      <c r="I408" s="31"/>
      <c r="J408" s="25">
        <f>Source!AU148</f>
        <v>65</v>
      </c>
      <c r="K408" s="27">
        <f>SUM(V403:V411)</f>
        <v>1419.28</v>
      </c>
      <c r="L408" s="29"/>
    </row>
    <row r="409" spans="1:26" ht="14.25" x14ac:dyDescent="0.2">
      <c r="A409" s="42"/>
      <c r="B409" s="43"/>
      <c r="C409" s="43" t="s">
        <v>1307</v>
      </c>
      <c r="D409" s="26" t="s">
        <v>1308</v>
      </c>
      <c r="E409" s="10">
        <f>Source!AQ148</f>
        <v>1.56</v>
      </c>
      <c r="F409" s="27"/>
      <c r="G409" s="28" t="str">
        <f>Source!DI148</f>
        <v>)*1,2</v>
      </c>
      <c r="H409" s="27"/>
      <c r="I409" s="28"/>
      <c r="J409" s="28"/>
      <c r="K409" s="27"/>
      <c r="L409" s="38">
        <f>Source!U148</f>
        <v>37.44</v>
      </c>
    </row>
    <row r="410" spans="1:26" ht="28.5" x14ac:dyDescent="0.2">
      <c r="A410" s="42" t="str">
        <f>Source!E149</f>
        <v>35,1</v>
      </c>
      <c r="B410" s="43" t="str">
        <f>Source!F149</f>
        <v>62.1.01.09-0006</v>
      </c>
      <c r="C410" s="43" t="str">
        <f>Source!G149</f>
        <v>Выключатели автоматические «IEK» ВА47-29 1Р 25А</v>
      </c>
      <c r="D410" s="26" t="str">
        <f>Source!H149</f>
        <v>шт.</v>
      </c>
      <c r="E410" s="10">
        <f>Source!I149</f>
        <v>15</v>
      </c>
      <c r="F410" s="27">
        <f>Source!AL149+Source!AM149+Source!AO149</f>
        <v>9.8699999999999992</v>
      </c>
      <c r="G410" s="39" t="s">
        <v>3</v>
      </c>
      <c r="H410" s="27">
        <f>ROUND(Source!AC149*Source!I149, 2)+ROUND(Source!AD149*Source!I149, 2)+ROUND(Source!AF149*Source!I149, 2)</f>
        <v>148.05000000000001</v>
      </c>
      <c r="I410" s="28"/>
      <c r="J410" s="28">
        <f>IF(Source!BC149&lt;&gt; 0, Source!BC149, 1)</f>
        <v>6.13</v>
      </c>
      <c r="K410" s="27">
        <f>Source!O149</f>
        <v>907.55</v>
      </c>
      <c r="L410" s="29"/>
      <c r="S410">
        <f>ROUND((Source!FX149/100)*((ROUND(Source!AF149*Source!I149, 2)+ROUND(Source!AE149*Source!I149, 2))), 2)</f>
        <v>0</v>
      </c>
      <c r="T410">
        <f>Source!X149</f>
        <v>0</v>
      </c>
      <c r="U410">
        <f>ROUND((Source!FY149/100)*((ROUND(Source!AF149*Source!I149, 2)+ROUND(Source!AE149*Source!I149, 2))), 2)</f>
        <v>0</v>
      </c>
      <c r="V410">
        <f>Source!Y149</f>
        <v>0</v>
      </c>
      <c r="W410">
        <f>IF(Source!BI149&lt;=1,H410, 0)</f>
        <v>0</v>
      </c>
      <c r="X410">
        <f>IF(Source!BI149=2,H410, 0)</f>
        <v>148.05000000000001</v>
      </c>
      <c r="Y410">
        <f>IF(Source!BI149=3,H410, 0)</f>
        <v>0</v>
      </c>
      <c r="Z410">
        <f>IF(Source!BI149=4,H410, 0)</f>
        <v>0</v>
      </c>
    </row>
    <row r="411" spans="1:26" ht="28.5" x14ac:dyDescent="0.2">
      <c r="A411" s="44" t="str">
        <f>Source!E150</f>
        <v>35,2</v>
      </c>
      <c r="B411" s="45" t="str">
        <f>Source!F150</f>
        <v>62.1.01.09-0018</v>
      </c>
      <c r="C411" s="45" t="str">
        <f>Source!G150</f>
        <v>Выключатели автоматические «IEK» ВА47-29 3Р 25А</v>
      </c>
      <c r="D411" s="32" t="str">
        <f>Source!H150</f>
        <v>шт.</v>
      </c>
      <c r="E411" s="33">
        <f>Source!I150</f>
        <v>5</v>
      </c>
      <c r="F411" s="34">
        <f>Source!AL150+Source!AM150+Source!AO150</f>
        <v>29.62</v>
      </c>
      <c r="G411" s="40" t="s">
        <v>3</v>
      </c>
      <c r="H411" s="34">
        <f>ROUND(Source!AC150*Source!I150, 2)+ROUND(Source!AD150*Source!I150, 2)+ROUND(Source!AF150*Source!I150, 2)</f>
        <v>148.1</v>
      </c>
      <c r="I411" s="35"/>
      <c r="J411" s="35">
        <f>IF(Source!BC150&lt;&gt; 0, Source!BC150, 1)</f>
        <v>6.13</v>
      </c>
      <c r="K411" s="34">
        <f>Source!O150</f>
        <v>907.85</v>
      </c>
      <c r="L411" s="41"/>
      <c r="S411">
        <f>ROUND((Source!FX150/100)*((ROUND(Source!AF150*Source!I150, 2)+ROUND(Source!AE150*Source!I150, 2))), 2)</f>
        <v>0</v>
      </c>
      <c r="T411">
        <f>Source!X150</f>
        <v>0</v>
      </c>
      <c r="U411">
        <f>ROUND((Source!FY150/100)*((ROUND(Source!AF150*Source!I150, 2)+ROUND(Source!AE150*Source!I150, 2))), 2)</f>
        <v>0</v>
      </c>
      <c r="V411">
        <f>Source!Y150</f>
        <v>0</v>
      </c>
      <c r="W411">
        <f>IF(Source!BI150&lt;=1,H411, 0)</f>
        <v>0</v>
      </c>
      <c r="X411">
        <f>IF(Source!BI150=2,H411, 0)</f>
        <v>148.1</v>
      </c>
      <c r="Y411">
        <f>IF(Source!BI150=3,H411, 0)</f>
        <v>0</v>
      </c>
      <c r="Z411">
        <f>IF(Source!BI150=4,H411, 0)</f>
        <v>0</v>
      </c>
    </row>
    <row r="412" spans="1:26" ht="15" x14ac:dyDescent="0.25">
      <c r="G412" s="61">
        <f>H404+H405+H406+H407+H408+SUM(H410:H411)</f>
        <v>1649.27</v>
      </c>
      <c r="H412" s="61"/>
      <c r="J412" s="61">
        <f>K404+K405+K406+K407+K408+SUM(K410:K411)</f>
        <v>10110.030000000001</v>
      </c>
      <c r="K412" s="61"/>
      <c r="L412" s="37">
        <f>Source!U148</f>
        <v>37.44</v>
      </c>
      <c r="O412" s="23">
        <f>G412</f>
        <v>1649.27</v>
      </c>
      <c r="P412" s="23">
        <f>J412</f>
        <v>10110.030000000001</v>
      </c>
      <c r="Q412" s="23">
        <f>L412</f>
        <v>37.44</v>
      </c>
      <c r="W412">
        <f>IF(Source!BI148&lt;=1,H404+H405+H406+H407+H408, 0)</f>
        <v>0</v>
      </c>
      <c r="X412">
        <f>IF(Source!BI148=2,H404+H405+H406+H407+H408, 0)</f>
        <v>1353.1200000000001</v>
      </c>
      <c r="Y412">
        <f>IF(Source!BI148=3,H404+H405+H406+H407+H408, 0)</f>
        <v>0</v>
      </c>
      <c r="Z412">
        <f>IF(Source!BI148=4,H404+H405+H406+H407+H408, 0)</f>
        <v>0</v>
      </c>
    </row>
    <row r="413" spans="1:26" ht="28.5" x14ac:dyDescent="0.2">
      <c r="A413" s="42" t="str">
        <f>Source!E151</f>
        <v>36</v>
      </c>
      <c r="B413" s="43" t="str">
        <f>Source!F151</f>
        <v>м08-02-390-01</v>
      </c>
      <c r="C413" s="43" t="str">
        <f>Source!G151</f>
        <v>Короба пластмассовые шириной до 40 мм</v>
      </c>
      <c r="D413" s="26" t="str">
        <f>Source!H151</f>
        <v>100 м</v>
      </c>
      <c r="E413" s="10">
        <f>Source!I151</f>
        <v>0.8</v>
      </c>
      <c r="F413" s="27">
        <f>Source!AL151+Source!AM151+Source!AO151</f>
        <v>206.76</v>
      </c>
      <c r="G413" s="28"/>
      <c r="H413" s="27"/>
      <c r="I413" s="28" t="str">
        <f>Source!BO151</f>
        <v/>
      </c>
      <c r="J413" s="28"/>
      <c r="K413" s="27"/>
      <c r="L413" s="29"/>
      <c r="S413">
        <f>ROUND((Source!FX151/100)*((ROUND(Source!AF151*Source!I151, 2)+ROUND(Source!AE151*Source!I151, 2))), 2)</f>
        <v>141.41999999999999</v>
      </c>
      <c r="T413">
        <f>Source!X151</f>
        <v>866.86</v>
      </c>
      <c r="U413">
        <f>ROUND((Source!FY151/100)*((ROUND(Source!AF151*Source!I151, 2)+ROUND(Source!AE151*Source!I151, 2))), 2)</f>
        <v>96.76</v>
      </c>
      <c r="V413">
        <f>Source!Y151</f>
        <v>593.11</v>
      </c>
    </row>
    <row r="414" spans="1:26" x14ac:dyDescent="0.2">
      <c r="C414" s="22" t="str">
        <f>"Объем: "&amp;Source!I151&amp;"=80/"&amp;"100"</f>
        <v>Объем: 0,8=80/100</v>
      </c>
    </row>
    <row r="415" spans="1:26" ht="14.25" x14ac:dyDescent="0.2">
      <c r="A415" s="42"/>
      <c r="B415" s="43"/>
      <c r="C415" s="43" t="s">
        <v>1302</v>
      </c>
      <c r="D415" s="26"/>
      <c r="E415" s="10"/>
      <c r="F415" s="27">
        <f>Source!AO151</f>
        <v>154.91999999999999</v>
      </c>
      <c r="G415" s="28" t="str">
        <f>Source!DG151</f>
        <v>)*1,2</v>
      </c>
      <c r="H415" s="27">
        <f>ROUND(Source!AF151*Source!I151, 2)</f>
        <v>148.72</v>
      </c>
      <c r="I415" s="28"/>
      <c r="J415" s="28">
        <f>IF(Source!BA151&lt;&gt; 0, Source!BA151, 1)</f>
        <v>6.13</v>
      </c>
      <c r="K415" s="27">
        <f>Source!S151</f>
        <v>911.65</v>
      </c>
      <c r="L415" s="29"/>
      <c r="R415">
        <f>H415</f>
        <v>148.72</v>
      </c>
    </row>
    <row r="416" spans="1:26" ht="14.25" x14ac:dyDescent="0.2">
      <c r="A416" s="42"/>
      <c r="B416" s="43"/>
      <c r="C416" s="43" t="s">
        <v>334</v>
      </c>
      <c r="D416" s="26"/>
      <c r="E416" s="10"/>
      <c r="F416" s="27">
        <f>Source!AM151</f>
        <v>0.31</v>
      </c>
      <c r="G416" s="28" t="str">
        <f>Source!DE151</f>
        <v>)*1,2</v>
      </c>
      <c r="H416" s="27">
        <f>ROUND(Source!AD151*Source!I151, 2)</f>
        <v>0.3</v>
      </c>
      <c r="I416" s="28"/>
      <c r="J416" s="28">
        <f>IF(Source!BB151&lt;&gt; 0, Source!BB151, 1)</f>
        <v>6.13</v>
      </c>
      <c r="K416" s="27">
        <f>Source!Q151</f>
        <v>1.81</v>
      </c>
      <c r="L416" s="29"/>
    </row>
    <row r="417" spans="1:26" ht="14.25" x14ac:dyDescent="0.2">
      <c r="A417" s="42"/>
      <c r="B417" s="43"/>
      <c r="C417" s="43" t="s">
        <v>1303</v>
      </c>
      <c r="D417" s="26"/>
      <c r="E417" s="10"/>
      <c r="F417" s="27">
        <f>Source!AN151</f>
        <v>0.14000000000000001</v>
      </c>
      <c r="G417" s="28" t="str">
        <f>Source!DF151</f>
        <v>)*1,2</v>
      </c>
      <c r="H417" s="30">
        <f>ROUND(Source!AE151*Source!I151, 2)</f>
        <v>0.14000000000000001</v>
      </c>
      <c r="I417" s="28"/>
      <c r="J417" s="28">
        <f>IF(Source!BS151&lt;&gt; 0, Source!BS151, 1)</f>
        <v>6.13</v>
      </c>
      <c r="K417" s="30">
        <f>Source!R151</f>
        <v>0.83</v>
      </c>
      <c r="L417" s="29"/>
      <c r="R417">
        <f>H417</f>
        <v>0.14000000000000001</v>
      </c>
    </row>
    <row r="418" spans="1:26" ht="14.25" x14ac:dyDescent="0.2">
      <c r="A418" s="42"/>
      <c r="B418" s="43"/>
      <c r="C418" s="43" t="s">
        <v>1309</v>
      </c>
      <c r="D418" s="26"/>
      <c r="E418" s="10"/>
      <c r="F418" s="27">
        <f>Source!AL151</f>
        <v>51.53</v>
      </c>
      <c r="G418" s="28" t="str">
        <f>Source!DD151</f>
        <v/>
      </c>
      <c r="H418" s="27">
        <f>ROUND(Source!AC151*Source!I151, 2)</f>
        <v>41.22</v>
      </c>
      <c r="I418" s="28"/>
      <c r="J418" s="28">
        <f>IF(Source!BC151&lt;&gt; 0, Source!BC151, 1)</f>
        <v>6.13</v>
      </c>
      <c r="K418" s="27">
        <f>Source!P151</f>
        <v>252.7</v>
      </c>
      <c r="L418" s="29"/>
    </row>
    <row r="419" spans="1:26" ht="14.25" x14ac:dyDescent="0.2">
      <c r="A419" s="42"/>
      <c r="B419" s="43"/>
      <c r="C419" s="43" t="s">
        <v>1304</v>
      </c>
      <c r="D419" s="26" t="s">
        <v>1305</v>
      </c>
      <c r="E419" s="10">
        <f>Source!BZ151</f>
        <v>95</v>
      </c>
      <c r="F419" s="46"/>
      <c r="G419" s="28"/>
      <c r="H419" s="27">
        <f>SUM(S413:S422)</f>
        <v>141.41999999999999</v>
      </c>
      <c r="I419" s="31"/>
      <c r="J419" s="25">
        <f>Source!AT151</f>
        <v>95</v>
      </c>
      <c r="K419" s="27">
        <f>SUM(T413:T422)</f>
        <v>866.86</v>
      </c>
      <c r="L419" s="29"/>
    </row>
    <row r="420" spans="1:26" ht="14.25" x14ac:dyDescent="0.2">
      <c r="A420" s="42"/>
      <c r="B420" s="43"/>
      <c r="C420" s="43" t="s">
        <v>1306</v>
      </c>
      <c r="D420" s="26" t="s">
        <v>1305</v>
      </c>
      <c r="E420" s="10">
        <f>Source!CA151</f>
        <v>65</v>
      </c>
      <c r="F420" s="46"/>
      <c r="G420" s="28"/>
      <c r="H420" s="27">
        <f>SUM(U413:U422)</f>
        <v>96.76</v>
      </c>
      <c r="I420" s="31"/>
      <c r="J420" s="25">
        <f>Source!AU151</f>
        <v>65</v>
      </c>
      <c r="K420" s="27">
        <f>SUM(V413:V422)</f>
        <v>593.11</v>
      </c>
      <c r="L420" s="29"/>
    </row>
    <row r="421" spans="1:26" ht="14.25" x14ac:dyDescent="0.2">
      <c r="A421" s="42"/>
      <c r="B421" s="43"/>
      <c r="C421" s="43" t="s">
        <v>1307</v>
      </c>
      <c r="D421" s="26" t="s">
        <v>1308</v>
      </c>
      <c r="E421" s="10">
        <f>Source!AQ151</f>
        <v>16.29</v>
      </c>
      <c r="F421" s="27"/>
      <c r="G421" s="28" t="str">
        <f>Source!DI151</f>
        <v>)*1,2</v>
      </c>
      <c r="H421" s="27"/>
      <c r="I421" s="28"/>
      <c r="J421" s="28"/>
      <c r="K421" s="27"/>
      <c r="L421" s="38">
        <f>Source!U151</f>
        <v>15.638399999999999</v>
      </c>
    </row>
    <row r="422" spans="1:26" ht="28.5" x14ac:dyDescent="0.2">
      <c r="A422" s="44" t="str">
        <f>Source!E152</f>
        <v>36,1</v>
      </c>
      <c r="B422" s="45" t="str">
        <f>Source!F152</f>
        <v>20.2.05.04-0025</v>
      </c>
      <c r="C422" s="45" t="str">
        <f>Source!G152</f>
        <v>Кабель-канал (короб) "Электропласт" 25x16 мм</v>
      </c>
      <c r="D422" s="32" t="str">
        <f>Source!H152</f>
        <v>100 м</v>
      </c>
      <c r="E422" s="33">
        <f>Source!I152</f>
        <v>0.8</v>
      </c>
      <c r="F422" s="34">
        <f>Source!AL152+Source!AM152+Source!AO152</f>
        <v>171</v>
      </c>
      <c r="G422" s="40" t="s">
        <v>3</v>
      </c>
      <c r="H422" s="34">
        <f>ROUND(Source!AC152*Source!I152, 2)+ROUND(Source!AD152*Source!I152, 2)+ROUND(Source!AF152*Source!I152, 2)</f>
        <v>136.80000000000001</v>
      </c>
      <c r="I422" s="35"/>
      <c r="J422" s="35">
        <f>IF(Source!BC152&lt;&gt; 0, Source!BC152, 1)</f>
        <v>6.13</v>
      </c>
      <c r="K422" s="34">
        <f>Source!O152</f>
        <v>838.58</v>
      </c>
      <c r="L422" s="41"/>
      <c r="S422">
        <f>ROUND((Source!FX152/100)*((ROUND(Source!AF152*Source!I152, 2)+ROUND(Source!AE152*Source!I152, 2))), 2)</f>
        <v>0</v>
      </c>
      <c r="T422">
        <f>Source!X152</f>
        <v>0</v>
      </c>
      <c r="U422">
        <f>ROUND((Source!FY152/100)*((ROUND(Source!AF152*Source!I152, 2)+ROUND(Source!AE152*Source!I152, 2))), 2)</f>
        <v>0</v>
      </c>
      <c r="V422">
        <f>Source!Y152</f>
        <v>0</v>
      </c>
      <c r="W422">
        <f>IF(Source!BI152&lt;=1,H422, 0)</f>
        <v>0</v>
      </c>
      <c r="X422">
        <f>IF(Source!BI152=2,H422, 0)</f>
        <v>136.80000000000001</v>
      </c>
      <c r="Y422">
        <f>IF(Source!BI152=3,H422, 0)</f>
        <v>0</v>
      </c>
      <c r="Z422">
        <f>IF(Source!BI152=4,H422, 0)</f>
        <v>0</v>
      </c>
    </row>
    <row r="423" spans="1:26" ht="15" x14ac:dyDescent="0.25">
      <c r="G423" s="61">
        <f>H415+H416+H418+H419+H420+SUM(H422:H422)</f>
        <v>565.22</v>
      </c>
      <c r="H423" s="61"/>
      <c r="J423" s="61">
        <f>K415+K416+K418+K419+K420+SUM(K422:K422)</f>
        <v>3464.71</v>
      </c>
      <c r="K423" s="61"/>
      <c r="L423" s="37">
        <f>Source!U151</f>
        <v>15.638399999999999</v>
      </c>
      <c r="O423" s="23">
        <f>G423</f>
        <v>565.22</v>
      </c>
      <c r="P423" s="23">
        <f>J423</f>
        <v>3464.71</v>
      </c>
      <c r="Q423" s="23">
        <f>L423</f>
        <v>15.638399999999999</v>
      </c>
      <c r="W423">
        <f>IF(Source!BI151&lt;=1,H415+H416+H418+H419+H420, 0)</f>
        <v>0</v>
      </c>
      <c r="X423">
        <f>IF(Source!BI151=2,H415+H416+H418+H419+H420, 0)</f>
        <v>428.41999999999996</v>
      </c>
      <c r="Y423">
        <f>IF(Source!BI151=3,H415+H416+H418+H419+H420, 0)</f>
        <v>0</v>
      </c>
      <c r="Z423">
        <f>IF(Source!BI151=4,H415+H416+H418+H419+H420, 0)</f>
        <v>0</v>
      </c>
    </row>
    <row r="424" spans="1:26" ht="28.5" x14ac:dyDescent="0.2">
      <c r="A424" s="42" t="str">
        <f>Source!E153</f>
        <v>37</v>
      </c>
      <c r="B424" s="43" t="str">
        <f>Source!F153</f>
        <v>м08-02-390-02</v>
      </c>
      <c r="C424" s="43" t="str">
        <f>Source!G153</f>
        <v>Короба пластмассовые шириной до 63 мм</v>
      </c>
      <c r="D424" s="26" t="str">
        <f>Source!H153</f>
        <v>100 м</v>
      </c>
      <c r="E424" s="10">
        <f>Source!I153</f>
        <v>0.16</v>
      </c>
      <c r="F424" s="27">
        <f>Source!AL153+Source!AM153+Source!AO153</f>
        <v>245.13</v>
      </c>
      <c r="G424" s="28"/>
      <c r="H424" s="27"/>
      <c r="I424" s="28" t="str">
        <f>Source!BO153</f>
        <v/>
      </c>
      <c r="J424" s="28"/>
      <c r="K424" s="27"/>
      <c r="L424" s="29"/>
      <c r="S424">
        <f>ROUND((Source!FX153/100)*((ROUND(Source!AF153*Source!I153, 2)+ROUND(Source!AE153*Source!I153, 2))), 2)</f>
        <v>26.6</v>
      </c>
      <c r="T424">
        <f>Source!X153</f>
        <v>163.09</v>
      </c>
      <c r="U424">
        <f>ROUND((Source!FY153/100)*((ROUND(Source!AF153*Source!I153, 2)+ROUND(Source!AE153*Source!I153, 2))), 2)</f>
        <v>18.2</v>
      </c>
      <c r="V424">
        <f>Source!Y153</f>
        <v>111.59</v>
      </c>
    </row>
    <row r="425" spans="1:26" x14ac:dyDescent="0.2">
      <c r="C425" s="22" t="str">
        <f>"Объем: "&amp;Source!I153&amp;"=16/"&amp;"100"</f>
        <v>Объем: 0,16=16/100</v>
      </c>
    </row>
    <row r="426" spans="1:26" ht="14.25" x14ac:dyDescent="0.2">
      <c r="A426" s="42"/>
      <c r="B426" s="43"/>
      <c r="C426" s="43" t="s">
        <v>1302</v>
      </c>
      <c r="D426" s="26"/>
      <c r="E426" s="10"/>
      <c r="F426" s="27">
        <f>Source!AO153</f>
        <v>174.89</v>
      </c>
      <c r="G426" s="28" t="str">
        <f>Source!DG153</f>
        <v/>
      </c>
      <c r="H426" s="27">
        <f>ROUND(Source!AF153*Source!I153, 2)</f>
        <v>27.98</v>
      </c>
      <c r="I426" s="28"/>
      <c r="J426" s="28">
        <f>IF(Source!BA153&lt;&gt; 0, Source!BA153, 1)</f>
        <v>6.13</v>
      </c>
      <c r="K426" s="27">
        <f>Source!S153</f>
        <v>171.53</v>
      </c>
      <c r="L426" s="29"/>
      <c r="R426">
        <f>H426</f>
        <v>27.98</v>
      </c>
    </row>
    <row r="427" spans="1:26" ht="14.25" x14ac:dyDescent="0.2">
      <c r="A427" s="42"/>
      <c r="B427" s="43"/>
      <c r="C427" s="43" t="s">
        <v>334</v>
      </c>
      <c r="D427" s="26"/>
      <c r="E427" s="10"/>
      <c r="F427" s="27">
        <f>Source!AM153</f>
        <v>0.31</v>
      </c>
      <c r="G427" s="28" t="str">
        <f>Source!DE153</f>
        <v/>
      </c>
      <c r="H427" s="27">
        <f>ROUND(Source!AD153*Source!I153, 2)</f>
        <v>0.05</v>
      </c>
      <c r="I427" s="28"/>
      <c r="J427" s="28">
        <f>IF(Source!BB153&lt;&gt; 0, Source!BB153, 1)</f>
        <v>6.13</v>
      </c>
      <c r="K427" s="27">
        <f>Source!Q153</f>
        <v>0.3</v>
      </c>
      <c r="L427" s="29"/>
    </row>
    <row r="428" spans="1:26" ht="14.25" x14ac:dyDescent="0.2">
      <c r="A428" s="42"/>
      <c r="B428" s="43"/>
      <c r="C428" s="43" t="s">
        <v>1303</v>
      </c>
      <c r="D428" s="26"/>
      <c r="E428" s="10"/>
      <c r="F428" s="27">
        <f>Source!AN153</f>
        <v>0.14000000000000001</v>
      </c>
      <c r="G428" s="28" t="str">
        <f>Source!DF153</f>
        <v/>
      </c>
      <c r="H428" s="30">
        <f>ROUND(Source!AE153*Source!I153, 2)</f>
        <v>0.02</v>
      </c>
      <c r="I428" s="28"/>
      <c r="J428" s="28">
        <f>IF(Source!BS153&lt;&gt; 0, Source!BS153, 1)</f>
        <v>6.13</v>
      </c>
      <c r="K428" s="30">
        <f>Source!R153</f>
        <v>0.14000000000000001</v>
      </c>
      <c r="L428" s="29"/>
      <c r="R428">
        <f>H428</f>
        <v>0.02</v>
      </c>
    </row>
    <row r="429" spans="1:26" ht="14.25" x14ac:dyDescent="0.2">
      <c r="A429" s="42"/>
      <c r="B429" s="43"/>
      <c r="C429" s="43" t="s">
        <v>1309</v>
      </c>
      <c r="D429" s="26"/>
      <c r="E429" s="10"/>
      <c r="F429" s="27">
        <f>Source!AL153</f>
        <v>69.930000000000007</v>
      </c>
      <c r="G429" s="28" t="str">
        <f>Source!DD153</f>
        <v/>
      </c>
      <c r="H429" s="27">
        <f>ROUND(Source!AC153*Source!I153, 2)</f>
        <v>11.19</v>
      </c>
      <c r="I429" s="28"/>
      <c r="J429" s="28">
        <f>IF(Source!BC153&lt;&gt; 0, Source!BC153, 1)</f>
        <v>6.13</v>
      </c>
      <c r="K429" s="27">
        <f>Source!P153</f>
        <v>68.59</v>
      </c>
      <c r="L429" s="29"/>
    </row>
    <row r="430" spans="1:26" ht="14.25" x14ac:dyDescent="0.2">
      <c r="A430" s="42"/>
      <c r="B430" s="43"/>
      <c r="C430" s="43" t="s">
        <v>1304</v>
      </c>
      <c r="D430" s="26" t="s">
        <v>1305</v>
      </c>
      <c r="E430" s="10">
        <f>Source!BZ153</f>
        <v>95</v>
      </c>
      <c r="F430" s="46"/>
      <c r="G430" s="28"/>
      <c r="H430" s="27">
        <f>SUM(S424:S433)</f>
        <v>26.6</v>
      </c>
      <c r="I430" s="31"/>
      <c r="J430" s="25">
        <f>Source!AT153</f>
        <v>95</v>
      </c>
      <c r="K430" s="27">
        <f>SUM(T424:T433)</f>
        <v>163.09</v>
      </c>
      <c r="L430" s="29"/>
    </row>
    <row r="431" spans="1:26" ht="14.25" x14ac:dyDescent="0.2">
      <c r="A431" s="42"/>
      <c r="B431" s="43"/>
      <c r="C431" s="43" t="s">
        <v>1306</v>
      </c>
      <c r="D431" s="26" t="s">
        <v>1305</v>
      </c>
      <c r="E431" s="10">
        <f>Source!CA153</f>
        <v>65</v>
      </c>
      <c r="F431" s="46"/>
      <c r="G431" s="28"/>
      <c r="H431" s="27">
        <f>SUM(U424:U433)</f>
        <v>18.2</v>
      </c>
      <c r="I431" s="31"/>
      <c r="J431" s="25">
        <f>Source!AU153</f>
        <v>65</v>
      </c>
      <c r="K431" s="27">
        <f>SUM(V424:V433)</f>
        <v>111.59</v>
      </c>
      <c r="L431" s="29"/>
    </row>
    <row r="432" spans="1:26" ht="14.25" x14ac:dyDescent="0.2">
      <c r="A432" s="42"/>
      <c r="B432" s="43"/>
      <c r="C432" s="43" t="s">
        <v>1307</v>
      </c>
      <c r="D432" s="26" t="s">
        <v>1308</v>
      </c>
      <c r="E432" s="10">
        <f>Source!AQ153</f>
        <v>18.39</v>
      </c>
      <c r="F432" s="27"/>
      <c r="G432" s="28" t="str">
        <f>Source!DI153</f>
        <v/>
      </c>
      <c r="H432" s="27"/>
      <c r="I432" s="28"/>
      <c r="J432" s="28"/>
      <c r="K432" s="27"/>
      <c r="L432" s="38">
        <f>Source!U153</f>
        <v>2.9424000000000001</v>
      </c>
    </row>
    <row r="433" spans="1:26" ht="28.5" x14ac:dyDescent="0.2">
      <c r="A433" s="44" t="str">
        <f>Source!E154</f>
        <v>37,1</v>
      </c>
      <c r="B433" s="45" t="str">
        <f>Source!F154</f>
        <v>20.2.05.04-0030</v>
      </c>
      <c r="C433" s="45" t="str">
        <f>Source!G154</f>
        <v>Кабель-канал (короб) "Электропласт" 60x40 мм</v>
      </c>
      <c r="D433" s="32" t="str">
        <f>Source!H154</f>
        <v>100 м</v>
      </c>
      <c r="E433" s="33">
        <f>Source!I154</f>
        <v>0.16</v>
      </c>
      <c r="F433" s="34">
        <f>Source!AL154+Source!AM154+Source!AO154</f>
        <v>680</v>
      </c>
      <c r="G433" s="40" t="s">
        <v>3</v>
      </c>
      <c r="H433" s="34">
        <f>ROUND(Source!AC154*Source!I154, 2)+ROUND(Source!AD154*Source!I154, 2)+ROUND(Source!AF154*Source!I154, 2)</f>
        <v>108.8</v>
      </c>
      <c r="I433" s="35"/>
      <c r="J433" s="35">
        <f>IF(Source!BC154&lt;&gt; 0, Source!BC154, 1)</f>
        <v>6.13</v>
      </c>
      <c r="K433" s="34">
        <f>Source!O154</f>
        <v>666.94</v>
      </c>
      <c r="L433" s="41"/>
      <c r="S433">
        <f>ROUND((Source!FX154/100)*((ROUND(Source!AF154*Source!I154, 2)+ROUND(Source!AE154*Source!I154, 2))), 2)</f>
        <v>0</v>
      </c>
      <c r="T433">
        <f>Source!X154</f>
        <v>0</v>
      </c>
      <c r="U433">
        <f>ROUND((Source!FY154/100)*((ROUND(Source!AF154*Source!I154, 2)+ROUND(Source!AE154*Source!I154, 2))), 2)</f>
        <v>0</v>
      </c>
      <c r="V433">
        <f>Source!Y154</f>
        <v>0</v>
      </c>
      <c r="W433">
        <f>IF(Source!BI154&lt;=1,H433, 0)</f>
        <v>0</v>
      </c>
      <c r="X433">
        <f>IF(Source!BI154=2,H433, 0)</f>
        <v>108.8</v>
      </c>
      <c r="Y433">
        <f>IF(Source!BI154=3,H433, 0)</f>
        <v>0</v>
      </c>
      <c r="Z433">
        <f>IF(Source!BI154=4,H433, 0)</f>
        <v>0</v>
      </c>
    </row>
    <row r="434" spans="1:26" ht="15" x14ac:dyDescent="0.25">
      <c r="G434" s="61">
        <f>H426+H427+H429+H430+H431+SUM(H433:H433)</f>
        <v>192.82</v>
      </c>
      <c r="H434" s="61"/>
      <c r="J434" s="61">
        <f>K426+K427+K429+K430+K431+SUM(K433:K433)</f>
        <v>1182.04</v>
      </c>
      <c r="K434" s="61"/>
      <c r="L434" s="37">
        <f>Source!U153</f>
        <v>2.9424000000000001</v>
      </c>
      <c r="O434" s="23">
        <f>G434</f>
        <v>192.82</v>
      </c>
      <c r="P434" s="23">
        <f>J434</f>
        <v>1182.04</v>
      </c>
      <c r="Q434" s="23">
        <f>L434</f>
        <v>2.9424000000000001</v>
      </c>
      <c r="W434">
        <f>IF(Source!BI153&lt;=1,H426+H427+H429+H430+H431, 0)</f>
        <v>0</v>
      </c>
      <c r="X434">
        <f>IF(Source!BI153=2,H426+H427+H429+H430+H431, 0)</f>
        <v>84.02</v>
      </c>
      <c r="Y434">
        <f>IF(Source!BI153=3,H426+H427+H429+H430+H431, 0)</f>
        <v>0</v>
      </c>
      <c r="Z434">
        <f>IF(Source!BI153=4,H426+H427+H429+H430+H431, 0)</f>
        <v>0</v>
      </c>
    </row>
    <row r="435" spans="1:26" ht="28.5" x14ac:dyDescent="0.2">
      <c r="A435" s="42" t="str">
        <f>Source!E155</f>
        <v>38</v>
      </c>
      <c r="B435" s="43" t="str">
        <f>Source!F155</f>
        <v>м08-10-010-01</v>
      </c>
      <c r="C435" s="43" t="str">
        <f>Source!G155</f>
        <v>Прокладка труб гофрированных ПВХ для защиты проводов и кабелей</v>
      </c>
      <c r="D435" s="26" t="str">
        <f>Source!H155</f>
        <v>100 м</v>
      </c>
      <c r="E435" s="10">
        <f>Source!I155</f>
        <v>0.8</v>
      </c>
      <c r="F435" s="27">
        <f>Source!AL155+Source!AM155+Source!AO155</f>
        <v>156.32999999999998</v>
      </c>
      <c r="G435" s="28"/>
      <c r="H435" s="27"/>
      <c r="I435" s="28" t="str">
        <f>Source!BO155</f>
        <v/>
      </c>
      <c r="J435" s="28"/>
      <c r="K435" s="27"/>
      <c r="L435" s="29"/>
      <c r="S435">
        <f>ROUND((Source!FX155/100)*((ROUND(Source!AF155*Source!I155, 2)+ROUND(Source!AE155*Source!I155, 2))), 2)</f>
        <v>127.26</v>
      </c>
      <c r="T435">
        <f>Source!X155</f>
        <v>780.11</v>
      </c>
      <c r="U435">
        <f>ROUND((Source!FY155/100)*((ROUND(Source!AF155*Source!I155, 2)+ROUND(Source!AE155*Source!I155, 2))), 2)</f>
        <v>87.07</v>
      </c>
      <c r="V435">
        <f>Source!Y155</f>
        <v>533.76</v>
      </c>
    </row>
    <row r="436" spans="1:26" x14ac:dyDescent="0.2">
      <c r="C436" s="22" t="str">
        <f>"Объем: "&amp;Source!I155&amp;"=80/"&amp;"100"</f>
        <v>Объем: 0,8=80/100</v>
      </c>
    </row>
    <row r="437" spans="1:26" ht="14.25" x14ac:dyDescent="0.2">
      <c r="A437" s="42"/>
      <c r="B437" s="43"/>
      <c r="C437" s="43" t="s">
        <v>1302</v>
      </c>
      <c r="D437" s="26"/>
      <c r="E437" s="10"/>
      <c r="F437" s="27">
        <f>Source!AO155</f>
        <v>139.54</v>
      </c>
      <c r="G437" s="28" t="str">
        <f>Source!DG155</f>
        <v>)*1,2</v>
      </c>
      <c r="H437" s="27">
        <f>ROUND(Source!AF155*Source!I155, 2)</f>
        <v>133.96</v>
      </c>
      <c r="I437" s="28"/>
      <c r="J437" s="28">
        <f>IF(Source!BA155&lt;&gt; 0, Source!BA155, 1)</f>
        <v>6.13</v>
      </c>
      <c r="K437" s="27">
        <f>Source!S155</f>
        <v>821.17</v>
      </c>
      <c r="L437" s="29"/>
      <c r="R437">
        <f>H437</f>
        <v>133.96</v>
      </c>
    </row>
    <row r="438" spans="1:26" ht="14.25" x14ac:dyDescent="0.2">
      <c r="A438" s="42"/>
      <c r="B438" s="43"/>
      <c r="C438" s="43" t="s">
        <v>1309</v>
      </c>
      <c r="D438" s="26"/>
      <c r="E438" s="10"/>
      <c r="F438" s="27">
        <f>Source!AL155</f>
        <v>16.79</v>
      </c>
      <c r="G438" s="28" t="str">
        <f>Source!DD155</f>
        <v/>
      </c>
      <c r="H438" s="27">
        <f>ROUND(Source!AC155*Source!I155, 2)</f>
        <v>13.43</v>
      </c>
      <c r="I438" s="28"/>
      <c r="J438" s="28">
        <f>IF(Source!BC155&lt;&gt; 0, Source!BC155, 1)</f>
        <v>6.13</v>
      </c>
      <c r="K438" s="27">
        <f>Source!P155</f>
        <v>82.34</v>
      </c>
      <c r="L438" s="29"/>
    </row>
    <row r="439" spans="1:26" ht="14.25" x14ac:dyDescent="0.2">
      <c r="A439" s="42"/>
      <c r="B439" s="43"/>
      <c r="C439" s="43" t="s">
        <v>1304</v>
      </c>
      <c r="D439" s="26" t="s">
        <v>1305</v>
      </c>
      <c r="E439" s="10">
        <f>Source!BZ155</f>
        <v>95</v>
      </c>
      <c r="F439" s="46"/>
      <c r="G439" s="28"/>
      <c r="H439" s="27">
        <f>SUM(S435:S442)</f>
        <v>127.26</v>
      </c>
      <c r="I439" s="31"/>
      <c r="J439" s="25">
        <f>Source!AT155</f>
        <v>95</v>
      </c>
      <c r="K439" s="27">
        <f>SUM(T435:T442)</f>
        <v>780.11</v>
      </c>
      <c r="L439" s="29"/>
    </row>
    <row r="440" spans="1:26" ht="14.25" x14ac:dyDescent="0.2">
      <c r="A440" s="42"/>
      <c r="B440" s="43"/>
      <c r="C440" s="43" t="s">
        <v>1306</v>
      </c>
      <c r="D440" s="26" t="s">
        <v>1305</v>
      </c>
      <c r="E440" s="10">
        <f>Source!CA155</f>
        <v>65</v>
      </c>
      <c r="F440" s="46"/>
      <c r="G440" s="28"/>
      <c r="H440" s="27">
        <f>SUM(U435:U442)</f>
        <v>87.07</v>
      </c>
      <c r="I440" s="31"/>
      <c r="J440" s="25">
        <f>Source!AU155</f>
        <v>65</v>
      </c>
      <c r="K440" s="27">
        <f>SUM(V435:V442)</f>
        <v>533.76</v>
      </c>
      <c r="L440" s="29"/>
    </row>
    <row r="441" spans="1:26" ht="14.25" x14ac:dyDescent="0.2">
      <c r="A441" s="42"/>
      <c r="B441" s="43"/>
      <c r="C441" s="43" t="s">
        <v>1307</v>
      </c>
      <c r="D441" s="26" t="s">
        <v>1308</v>
      </c>
      <c r="E441" s="10">
        <f>Source!AQ155</f>
        <v>15.2</v>
      </c>
      <c r="F441" s="27"/>
      <c r="G441" s="28" t="str">
        <f>Source!DI155</f>
        <v>)*1,2</v>
      </c>
      <c r="H441" s="27"/>
      <c r="I441" s="28"/>
      <c r="J441" s="28"/>
      <c r="K441" s="27"/>
      <c r="L441" s="38">
        <f>Source!U155</f>
        <v>14.591999999999999</v>
      </c>
    </row>
    <row r="442" spans="1:26" ht="28.5" x14ac:dyDescent="0.2">
      <c r="A442" s="44" t="str">
        <f>Source!E156</f>
        <v>38,1</v>
      </c>
      <c r="B442" s="45" t="str">
        <f>Source!F156</f>
        <v>20.2.12.03-0011</v>
      </c>
      <c r="C442" s="45" t="str">
        <f>Source!G156</f>
        <v>Трубы гибкие гофрированные из ПВХ "DKC" диаметром 20 мм</v>
      </c>
      <c r="D442" s="32" t="str">
        <f>Source!H156</f>
        <v>10 м</v>
      </c>
      <c r="E442" s="33">
        <f>Source!I156</f>
        <v>8</v>
      </c>
      <c r="F442" s="34">
        <f>Source!AL156+Source!AM156+Source!AO156</f>
        <v>12.4</v>
      </c>
      <c r="G442" s="40" t="s">
        <v>3</v>
      </c>
      <c r="H442" s="34">
        <f>ROUND(Source!AC156*Source!I156, 2)+ROUND(Source!AD156*Source!I156, 2)+ROUND(Source!AF156*Source!I156, 2)</f>
        <v>99.2</v>
      </c>
      <c r="I442" s="35"/>
      <c r="J442" s="35">
        <f>IF(Source!BC156&lt;&gt; 0, Source!BC156, 1)</f>
        <v>6.13</v>
      </c>
      <c r="K442" s="34">
        <f>Source!O156</f>
        <v>608.1</v>
      </c>
      <c r="L442" s="41"/>
      <c r="S442">
        <f>ROUND((Source!FX156/100)*((ROUND(Source!AF156*Source!I156, 2)+ROUND(Source!AE156*Source!I156, 2))), 2)</f>
        <v>0</v>
      </c>
      <c r="T442">
        <f>Source!X156</f>
        <v>0</v>
      </c>
      <c r="U442">
        <f>ROUND((Source!FY156/100)*((ROUND(Source!AF156*Source!I156, 2)+ROUND(Source!AE156*Source!I156, 2))), 2)</f>
        <v>0</v>
      </c>
      <c r="V442">
        <f>Source!Y156</f>
        <v>0</v>
      </c>
      <c r="W442">
        <f>IF(Source!BI156&lt;=1,H442, 0)</f>
        <v>0</v>
      </c>
      <c r="X442">
        <f>IF(Source!BI156=2,H442, 0)</f>
        <v>99.2</v>
      </c>
      <c r="Y442">
        <f>IF(Source!BI156=3,H442, 0)</f>
        <v>0</v>
      </c>
      <c r="Z442">
        <f>IF(Source!BI156=4,H442, 0)</f>
        <v>0</v>
      </c>
    </row>
    <row r="443" spans="1:26" ht="15" x14ac:dyDescent="0.25">
      <c r="G443" s="61">
        <f>H437+H438+H439+H440+SUM(H442:H442)</f>
        <v>460.92</v>
      </c>
      <c r="H443" s="61"/>
      <c r="J443" s="61">
        <f>K437+K438+K439+K440+SUM(K442:K442)</f>
        <v>2825.48</v>
      </c>
      <c r="K443" s="61"/>
      <c r="L443" s="37">
        <f>Source!U155</f>
        <v>14.591999999999999</v>
      </c>
      <c r="O443" s="23">
        <f>G443</f>
        <v>460.92</v>
      </c>
      <c r="P443" s="23">
        <f>J443</f>
        <v>2825.48</v>
      </c>
      <c r="Q443" s="23">
        <f>L443</f>
        <v>14.591999999999999</v>
      </c>
      <c r="W443">
        <f>IF(Source!BI155&lt;=1,H437+H438+H439+H440, 0)</f>
        <v>0</v>
      </c>
      <c r="X443">
        <f>IF(Source!BI155=2,H437+H438+H439+H440, 0)</f>
        <v>361.72</v>
      </c>
      <c r="Y443">
        <f>IF(Source!BI155=3,H437+H438+H439+H440, 0)</f>
        <v>0</v>
      </c>
      <c r="Z443">
        <f>IF(Source!BI155=4,H437+H438+H439+H440, 0)</f>
        <v>0</v>
      </c>
    </row>
    <row r="444" spans="1:26" ht="28.5" x14ac:dyDescent="0.2">
      <c r="A444" s="42" t="str">
        <f>Source!E157</f>
        <v>39</v>
      </c>
      <c r="B444" s="43" t="str">
        <f>Source!F157</f>
        <v>м08-03-594-08</v>
      </c>
      <c r="C444" s="43" t="str">
        <f>Source!G157</f>
        <v>Светильник отдельно устанавливаемый накладной</v>
      </c>
      <c r="D444" s="26" t="str">
        <f>Source!H157</f>
        <v>100 ШТ</v>
      </c>
      <c r="E444" s="10">
        <f>Source!I157</f>
        <v>0.24</v>
      </c>
      <c r="F444" s="27">
        <f>Source!AL157+Source!AM157+Source!AO157</f>
        <v>1663.44</v>
      </c>
      <c r="G444" s="28"/>
      <c r="H444" s="27"/>
      <c r="I444" s="28" t="str">
        <f>Source!BO157</f>
        <v/>
      </c>
      <c r="J444" s="28"/>
      <c r="K444" s="27"/>
      <c r="L444" s="29"/>
      <c r="S444">
        <f>ROUND((Source!FX157/100)*((ROUND(Source!AF157*Source!I157, 2)+ROUND(Source!AE157*Source!I157, 2))), 2)</f>
        <v>403.75</v>
      </c>
      <c r="T444">
        <f>Source!X157</f>
        <v>2474.9899999999998</v>
      </c>
      <c r="U444">
        <f>ROUND((Source!FY157/100)*((ROUND(Source!AF157*Source!I157, 2)+ROUND(Source!AE157*Source!I157, 2))), 2)</f>
        <v>276.25</v>
      </c>
      <c r="V444">
        <f>Source!Y157</f>
        <v>1693.41</v>
      </c>
    </row>
    <row r="445" spans="1:26" x14ac:dyDescent="0.2">
      <c r="C445" s="22" t="str">
        <f>"Объем: "&amp;Source!I157&amp;"=24/"&amp;"100"</f>
        <v>Объем: 0,24=24/100</v>
      </c>
    </row>
    <row r="446" spans="1:26" ht="14.25" x14ac:dyDescent="0.2">
      <c r="A446" s="42"/>
      <c r="B446" s="43"/>
      <c r="C446" s="43" t="s">
        <v>1302</v>
      </c>
      <c r="D446" s="26"/>
      <c r="E446" s="10"/>
      <c r="F446" s="27">
        <f>Source!AO157</f>
        <v>1468.16</v>
      </c>
      <c r="G446" s="28" t="str">
        <f>Source!DG157</f>
        <v>)*1,2</v>
      </c>
      <c r="H446" s="27">
        <f>ROUND(Source!AF157*Source!I157, 2)</f>
        <v>422.83</v>
      </c>
      <c r="I446" s="28"/>
      <c r="J446" s="28">
        <f>IF(Source!BA157&lt;&gt; 0, Source!BA157, 1)</f>
        <v>6.13</v>
      </c>
      <c r="K446" s="27">
        <f>Source!S157</f>
        <v>2591.9499999999998</v>
      </c>
      <c r="L446" s="29"/>
      <c r="R446">
        <f>H446</f>
        <v>422.83</v>
      </c>
    </row>
    <row r="447" spans="1:26" ht="14.25" x14ac:dyDescent="0.2">
      <c r="A447" s="42"/>
      <c r="B447" s="43"/>
      <c r="C447" s="43" t="s">
        <v>334</v>
      </c>
      <c r="D447" s="26"/>
      <c r="E447" s="10"/>
      <c r="F447" s="27">
        <f>Source!AM157</f>
        <v>53.31</v>
      </c>
      <c r="G447" s="28" t="str">
        <f>Source!DE157</f>
        <v>)*1,2</v>
      </c>
      <c r="H447" s="27">
        <f>ROUND(Source!AD157*Source!I157, 2)</f>
        <v>15.36</v>
      </c>
      <c r="I447" s="28"/>
      <c r="J447" s="28">
        <f>IF(Source!BB157&lt;&gt; 0, Source!BB157, 1)</f>
        <v>6.13</v>
      </c>
      <c r="K447" s="27">
        <f>Source!Q157</f>
        <v>94.13</v>
      </c>
      <c r="L447" s="29"/>
    </row>
    <row r="448" spans="1:26" ht="14.25" x14ac:dyDescent="0.2">
      <c r="A448" s="42"/>
      <c r="B448" s="43"/>
      <c r="C448" s="43" t="s">
        <v>1303</v>
      </c>
      <c r="D448" s="26"/>
      <c r="E448" s="10"/>
      <c r="F448" s="27">
        <f>Source!AN157</f>
        <v>7.53</v>
      </c>
      <c r="G448" s="28" t="str">
        <f>Source!DF157</f>
        <v>)*1,2</v>
      </c>
      <c r="H448" s="30">
        <f>ROUND(Source!AE157*Source!I157, 2)</f>
        <v>2.17</v>
      </c>
      <c r="I448" s="28"/>
      <c r="J448" s="28">
        <f>IF(Source!BS157&lt;&gt; 0, Source!BS157, 1)</f>
        <v>6.13</v>
      </c>
      <c r="K448" s="30">
        <f>Source!R157</f>
        <v>13.3</v>
      </c>
      <c r="L448" s="29"/>
      <c r="R448">
        <f>H448</f>
        <v>2.17</v>
      </c>
    </row>
    <row r="449" spans="1:26" ht="14.25" x14ac:dyDescent="0.2">
      <c r="A449" s="42"/>
      <c r="B449" s="43"/>
      <c r="C449" s="43" t="s">
        <v>1309</v>
      </c>
      <c r="D449" s="26"/>
      <c r="E449" s="10"/>
      <c r="F449" s="27">
        <f>Source!AL157</f>
        <v>141.97</v>
      </c>
      <c r="G449" s="28" t="str">
        <f>Source!DD157</f>
        <v/>
      </c>
      <c r="H449" s="27">
        <f>ROUND(Source!AC157*Source!I157, 2)</f>
        <v>34.07</v>
      </c>
      <c r="I449" s="28"/>
      <c r="J449" s="28">
        <f>IF(Source!BC157&lt;&gt; 0, Source!BC157, 1)</f>
        <v>6.13</v>
      </c>
      <c r="K449" s="27">
        <f>Source!P157</f>
        <v>208.87</v>
      </c>
      <c r="L449" s="29"/>
    </row>
    <row r="450" spans="1:26" ht="14.25" x14ac:dyDescent="0.2">
      <c r="A450" s="42"/>
      <c r="B450" s="43"/>
      <c r="C450" s="43" t="s">
        <v>1304</v>
      </c>
      <c r="D450" s="26" t="s">
        <v>1305</v>
      </c>
      <c r="E450" s="10">
        <f>Source!BZ157</f>
        <v>95</v>
      </c>
      <c r="F450" s="46"/>
      <c r="G450" s="28"/>
      <c r="H450" s="27">
        <f>SUM(S444:S453)</f>
        <v>403.75</v>
      </c>
      <c r="I450" s="31"/>
      <c r="J450" s="25">
        <f>Source!AT157</f>
        <v>95</v>
      </c>
      <c r="K450" s="27">
        <f>SUM(T444:T453)</f>
        <v>2474.9899999999998</v>
      </c>
      <c r="L450" s="29"/>
    </row>
    <row r="451" spans="1:26" ht="14.25" x14ac:dyDescent="0.2">
      <c r="A451" s="42"/>
      <c r="B451" s="43"/>
      <c r="C451" s="43" t="s">
        <v>1306</v>
      </c>
      <c r="D451" s="26" t="s">
        <v>1305</v>
      </c>
      <c r="E451" s="10">
        <f>Source!CA157</f>
        <v>65</v>
      </c>
      <c r="F451" s="46"/>
      <c r="G451" s="28"/>
      <c r="H451" s="27">
        <f>SUM(U444:U453)</f>
        <v>276.25</v>
      </c>
      <c r="I451" s="31"/>
      <c r="J451" s="25">
        <f>Source!AU157</f>
        <v>65</v>
      </c>
      <c r="K451" s="27">
        <f>SUM(V444:V453)</f>
        <v>1693.41</v>
      </c>
      <c r="L451" s="29"/>
    </row>
    <row r="452" spans="1:26" ht="14.25" x14ac:dyDescent="0.2">
      <c r="A452" s="42"/>
      <c r="B452" s="43"/>
      <c r="C452" s="43" t="s">
        <v>1307</v>
      </c>
      <c r="D452" s="26" t="s">
        <v>1308</v>
      </c>
      <c r="E452" s="10">
        <f>Source!AQ157</f>
        <v>148</v>
      </c>
      <c r="F452" s="27"/>
      <c r="G452" s="28" t="str">
        <f>Source!DI157</f>
        <v>)*1,2</v>
      </c>
      <c r="H452" s="27"/>
      <c r="I452" s="28"/>
      <c r="J452" s="28"/>
      <c r="K452" s="27"/>
      <c r="L452" s="38">
        <f>Source!U157</f>
        <v>42.623999999999995</v>
      </c>
    </row>
    <row r="453" spans="1:26" ht="42.75" x14ac:dyDescent="0.2">
      <c r="A453" s="44" t="str">
        <f>Source!E158</f>
        <v>39,1</v>
      </c>
      <c r="B453" s="45" t="str">
        <f>Source!F158</f>
        <v>20.3.03.07-0094</v>
      </c>
      <c r="C453" s="45" t="str">
        <f>Source!G158</f>
        <v>Светильник потолочный со светодиодными лампами соглано тех. заданию</v>
      </c>
      <c r="D453" s="32" t="str">
        <f>Source!H158</f>
        <v>шт.</v>
      </c>
      <c r="E453" s="33">
        <f>Source!I158</f>
        <v>24</v>
      </c>
      <c r="F453" s="34">
        <f>Source!AL158+Source!AM158+Source!AO158</f>
        <v>766.88</v>
      </c>
      <c r="G453" s="40" t="s">
        <v>3</v>
      </c>
      <c r="H453" s="34">
        <f>ROUND(Source!AC158*Source!I158, 2)+ROUND(Source!AD158*Source!I158, 2)+ROUND(Source!AF158*Source!I158, 2)</f>
        <v>18405.12</v>
      </c>
      <c r="I453" s="35"/>
      <c r="J453" s="35">
        <f>IF(Source!BC158&lt;&gt; 0, Source!BC158, 1)</f>
        <v>6.13</v>
      </c>
      <c r="K453" s="34">
        <f>Source!O158</f>
        <v>112823.39</v>
      </c>
      <c r="L453" s="41"/>
      <c r="S453">
        <f>ROUND((Source!FX158/100)*((ROUND(Source!AF158*Source!I158, 2)+ROUND(Source!AE158*Source!I158, 2))), 2)</f>
        <v>0</v>
      </c>
      <c r="T453">
        <f>Source!X158</f>
        <v>0</v>
      </c>
      <c r="U453">
        <f>ROUND((Source!FY158/100)*((ROUND(Source!AF158*Source!I158, 2)+ROUND(Source!AE158*Source!I158, 2))), 2)</f>
        <v>0</v>
      </c>
      <c r="V453">
        <f>Source!Y158</f>
        <v>0</v>
      </c>
      <c r="W453">
        <f>IF(Source!BI158&lt;=1,H453, 0)</f>
        <v>0</v>
      </c>
      <c r="X453">
        <f>IF(Source!BI158=2,H453, 0)</f>
        <v>18405.12</v>
      </c>
      <c r="Y453">
        <f>IF(Source!BI158=3,H453, 0)</f>
        <v>0</v>
      </c>
      <c r="Z453">
        <f>IF(Source!BI158=4,H453, 0)</f>
        <v>0</v>
      </c>
    </row>
    <row r="454" spans="1:26" ht="15" x14ac:dyDescent="0.25">
      <c r="G454" s="61">
        <f>H446+H447+H449+H450+H451+SUM(H453:H453)</f>
        <v>19557.379999999997</v>
      </c>
      <c r="H454" s="61"/>
      <c r="J454" s="61">
        <f>K446+K447+K449+K450+K451+SUM(K453:K453)</f>
        <v>119886.74</v>
      </c>
      <c r="K454" s="61"/>
      <c r="L454" s="37">
        <f>Source!U157</f>
        <v>42.623999999999995</v>
      </c>
      <c r="O454" s="23">
        <f>G454</f>
        <v>19557.379999999997</v>
      </c>
      <c r="P454" s="23">
        <f>J454</f>
        <v>119886.74</v>
      </c>
      <c r="Q454" s="23">
        <f>L454</f>
        <v>42.623999999999995</v>
      </c>
      <c r="W454">
        <f>IF(Source!BI157&lt;=1,H446+H447+H449+H450+H451, 0)</f>
        <v>0</v>
      </c>
      <c r="X454">
        <f>IF(Source!BI157=2,H446+H447+H449+H450+H451, 0)</f>
        <v>1152.26</v>
      </c>
      <c r="Y454">
        <f>IF(Source!BI157=3,H446+H447+H449+H450+H451, 0)</f>
        <v>0</v>
      </c>
      <c r="Z454">
        <f>IF(Source!BI157=4,H446+H447+H449+H450+H451, 0)</f>
        <v>0</v>
      </c>
    </row>
    <row r="455" spans="1:26" ht="42.75" x14ac:dyDescent="0.2">
      <c r="A455" s="42" t="str">
        <f>Source!E159</f>
        <v>40</v>
      </c>
      <c r="B455" s="43" t="str">
        <f>Source!F159</f>
        <v>м08-03-591-05</v>
      </c>
      <c r="C455" s="43" t="str">
        <f>Source!G159</f>
        <v>Выключатель двухклавишный утопленного типа при скрытой проводке</v>
      </c>
      <c r="D455" s="26" t="str">
        <f>Source!H159</f>
        <v>100 ШТ</v>
      </c>
      <c r="E455" s="10">
        <f>Source!I159</f>
        <v>0.04</v>
      </c>
      <c r="F455" s="27">
        <f>Source!AL159+Source!AM159+Source!AO159</f>
        <v>300.02</v>
      </c>
      <c r="G455" s="28"/>
      <c r="H455" s="27"/>
      <c r="I455" s="28" t="str">
        <f>Source!BO159</f>
        <v/>
      </c>
      <c r="J455" s="28"/>
      <c r="K455" s="27"/>
      <c r="L455" s="29"/>
      <c r="S455">
        <f>ROUND((Source!FX159/100)*((ROUND(Source!AF159*Source!I159, 2)+ROUND(Source!AE159*Source!I159, 2))), 2)</f>
        <v>11.89</v>
      </c>
      <c r="T455">
        <f>Source!X159</f>
        <v>72.94</v>
      </c>
      <c r="U455">
        <f>ROUND((Source!FY159/100)*((ROUND(Source!AF159*Source!I159, 2)+ROUND(Source!AE159*Source!I159, 2))), 2)</f>
        <v>8.14</v>
      </c>
      <c r="V455">
        <f>Source!Y159</f>
        <v>49.91</v>
      </c>
    </row>
    <row r="456" spans="1:26" x14ac:dyDescent="0.2">
      <c r="C456" s="22" t="str">
        <f>"Объем: "&amp;Source!I159&amp;"=4/"&amp;"100"</f>
        <v>Объем: 0,04=4/100</v>
      </c>
    </row>
    <row r="457" spans="1:26" ht="14.25" x14ac:dyDescent="0.2">
      <c r="A457" s="42"/>
      <c r="B457" s="43"/>
      <c r="C457" s="43" t="s">
        <v>1302</v>
      </c>
      <c r="D457" s="26"/>
      <c r="E457" s="10"/>
      <c r="F457" s="27">
        <f>Source!AO159</f>
        <v>260.3</v>
      </c>
      <c r="G457" s="28" t="str">
        <f>Source!DG159</f>
        <v>)*1,2</v>
      </c>
      <c r="H457" s="27">
        <f>ROUND(Source!AF159*Source!I159, 2)</f>
        <v>12.49</v>
      </c>
      <c r="I457" s="28"/>
      <c r="J457" s="28">
        <f>IF(Source!BA159&lt;&gt; 0, Source!BA159, 1)</f>
        <v>6.13</v>
      </c>
      <c r="K457" s="27">
        <f>Source!S159</f>
        <v>76.59</v>
      </c>
      <c r="L457" s="29"/>
      <c r="R457">
        <f>H457</f>
        <v>12.49</v>
      </c>
    </row>
    <row r="458" spans="1:26" ht="14.25" x14ac:dyDescent="0.2">
      <c r="A458" s="42"/>
      <c r="B458" s="43"/>
      <c r="C458" s="43" t="s">
        <v>334</v>
      </c>
      <c r="D458" s="26"/>
      <c r="E458" s="10"/>
      <c r="F458" s="27">
        <f>Source!AM159</f>
        <v>4.67</v>
      </c>
      <c r="G458" s="28" t="str">
        <f>Source!DE159</f>
        <v>)*1,2</v>
      </c>
      <c r="H458" s="27">
        <f>ROUND(Source!AD159*Source!I159, 2)</f>
        <v>0.22</v>
      </c>
      <c r="I458" s="28"/>
      <c r="J458" s="28">
        <f>IF(Source!BB159&lt;&gt; 0, Source!BB159, 1)</f>
        <v>6.13</v>
      </c>
      <c r="K458" s="27">
        <f>Source!Q159</f>
        <v>1.38</v>
      </c>
      <c r="L458" s="29"/>
    </row>
    <row r="459" spans="1:26" ht="14.25" x14ac:dyDescent="0.2">
      <c r="A459" s="42"/>
      <c r="B459" s="43"/>
      <c r="C459" s="43" t="s">
        <v>1303</v>
      </c>
      <c r="D459" s="26"/>
      <c r="E459" s="10"/>
      <c r="F459" s="27">
        <f>Source!AN159</f>
        <v>0.64</v>
      </c>
      <c r="G459" s="28" t="str">
        <f>Source!DF159</f>
        <v>)*1,2</v>
      </c>
      <c r="H459" s="30">
        <f>ROUND(Source!AE159*Source!I159, 2)</f>
        <v>0.03</v>
      </c>
      <c r="I459" s="28"/>
      <c r="J459" s="28">
        <f>IF(Source!BS159&lt;&gt; 0, Source!BS159, 1)</f>
        <v>6.13</v>
      </c>
      <c r="K459" s="30">
        <f>Source!R159</f>
        <v>0.19</v>
      </c>
      <c r="L459" s="29"/>
      <c r="R459">
        <f>H459</f>
        <v>0.03</v>
      </c>
    </row>
    <row r="460" spans="1:26" ht="14.25" x14ac:dyDescent="0.2">
      <c r="A460" s="42"/>
      <c r="B460" s="43"/>
      <c r="C460" s="43" t="s">
        <v>1309</v>
      </c>
      <c r="D460" s="26"/>
      <c r="E460" s="10"/>
      <c r="F460" s="27">
        <f>Source!AL159</f>
        <v>35.049999999999997</v>
      </c>
      <c r="G460" s="28" t="str">
        <f>Source!DD159</f>
        <v/>
      </c>
      <c r="H460" s="27">
        <f>ROUND(Source!AC159*Source!I159, 2)</f>
        <v>1.4</v>
      </c>
      <c r="I460" s="28"/>
      <c r="J460" s="28">
        <f>IF(Source!BC159&lt;&gt; 0, Source!BC159, 1)</f>
        <v>6.13</v>
      </c>
      <c r="K460" s="27">
        <f>Source!P159</f>
        <v>8.59</v>
      </c>
      <c r="L460" s="29"/>
    </row>
    <row r="461" spans="1:26" ht="14.25" x14ac:dyDescent="0.2">
      <c r="A461" s="42"/>
      <c r="B461" s="43"/>
      <c r="C461" s="43" t="s">
        <v>1304</v>
      </c>
      <c r="D461" s="26" t="s">
        <v>1305</v>
      </c>
      <c r="E461" s="10">
        <f>Source!BZ159</f>
        <v>95</v>
      </c>
      <c r="F461" s="46"/>
      <c r="G461" s="28"/>
      <c r="H461" s="27">
        <f>SUM(S455:S464)</f>
        <v>11.89</v>
      </c>
      <c r="I461" s="31"/>
      <c r="J461" s="25">
        <f>Source!AT159</f>
        <v>95</v>
      </c>
      <c r="K461" s="27">
        <f>SUM(T455:T464)</f>
        <v>72.94</v>
      </c>
      <c r="L461" s="29"/>
    </row>
    <row r="462" spans="1:26" ht="14.25" x14ac:dyDescent="0.2">
      <c r="A462" s="42"/>
      <c r="B462" s="43"/>
      <c r="C462" s="43" t="s">
        <v>1306</v>
      </c>
      <c r="D462" s="26" t="s">
        <v>1305</v>
      </c>
      <c r="E462" s="10">
        <f>Source!CA159</f>
        <v>65</v>
      </c>
      <c r="F462" s="46"/>
      <c r="G462" s="28"/>
      <c r="H462" s="27">
        <f>SUM(U455:U464)</f>
        <v>8.14</v>
      </c>
      <c r="I462" s="31"/>
      <c r="J462" s="25">
        <f>Source!AU159</f>
        <v>65</v>
      </c>
      <c r="K462" s="27">
        <f>SUM(V455:V464)</f>
        <v>49.91</v>
      </c>
      <c r="L462" s="29"/>
    </row>
    <row r="463" spans="1:26" ht="14.25" x14ac:dyDescent="0.2">
      <c r="A463" s="42"/>
      <c r="B463" s="43"/>
      <c r="C463" s="43" t="s">
        <v>1307</v>
      </c>
      <c r="D463" s="26" t="s">
        <v>1308</v>
      </c>
      <c r="E463" s="10">
        <f>Source!AQ159</f>
        <v>26.24</v>
      </c>
      <c r="F463" s="27"/>
      <c r="G463" s="28" t="str">
        <f>Source!DI159</f>
        <v>)*1,2</v>
      </c>
      <c r="H463" s="27"/>
      <c r="I463" s="28"/>
      <c r="J463" s="28"/>
      <c r="K463" s="27"/>
      <c r="L463" s="38">
        <f>Source!U159</f>
        <v>1.25952</v>
      </c>
    </row>
    <row r="464" spans="1:26" ht="57" x14ac:dyDescent="0.2">
      <c r="A464" s="44" t="str">
        <f>Source!E160</f>
        <v>40,1</v>
      </c>
      <c r="B464" s="45" t="str">
        <f>Source!F160</f>
        <v>20.4.01.02-0011</v>
      </c>
      <c r="C464" s="45" t="str">
        <f>Source!G160</f>
        <v>Выключатель двухклавишный для скрытой проводки серии "Прима", марка С56-039-с с подсветкой, цвет белый прим.</v>
      </c>
      <c r="D464" s="32" t="str">
        <f>Source!H160</f>
        <v>10 шт.</v>
      </c>
      <c r="E464" s="33">
        <f>Source!I160</f>
        <v>0.4</v>
      </c>
      <c r="F464" s="34">
        <f>Source!AL160+Source!AM160+Source!AO160</f>
        <v>87.2</v>
      </c>
      <c r="G464" s="40" t="s">
        <v>3</v>
      </c>
      <c r="H464" s="34">
        <f>ROUND(Source!AC160*Source!I160, 2)+ROUND(Source!AD160*Source!I160, 2)+ROUND(Source!AF160*Source!I160, 2)</f>
        <v>34.880000000000003</v>
      </c>
      <c r="I464" s="35"/>
      <c r="J464" s="35">
        <f>IF(Source!BC160&lt;&gt; 0, Source!BC160, 1)</f>
        <v>6.13</v>
      </c>
      <c r="K464" s="34">
        <f>Source!O160</f>
        <v>213.81</v>
      </c>
      <c r="L464" s="41"/>
      <c r="S464">
        <f>ROUND((Source!FX160/100)*((ROUND(Source!AF160*Source!I160, 2)+ROUND(Source!AE160*Source!I160, 2))), 2)</f>
        <v>0</v>
      </c>
      <c r="T464">
        <f>Source!X160</f>
        <v>0</v>
      </c>
      <c r="U464">
        <f>ROUND((Source!FY160/100)*((ROUND(Source!AF160*Source!I160, 2)+ROUND(Source!AE160*Source!I160, 2))), 2)</f>
        <v>0</v>
      </c>
      <c r="V464">
        <f>Source!Y160</f>
        <v>0</v>
      </c>
      <c r="W464">
        <f>IF(Source!BI160&lt;=1,H464, 0)</f>
        <v>0</v>
      </c>
      <c r="X464">
        <f>IF(Source!BI160=2,H464, 0)</f>
        <v>34.880000000000003</v>
      </c>
      <c r="Y464">
        <f>IF(Source!BI160=3,H464, 0)</f>
        <v>0</v>
      </c>
      <c r="Z464">
        <f>IF(Source!BI160=4,H464, 0)</f>
        <v>0</v>
      </c>
    </row>
    <row r="465" spans="1:26" ht="15" x14ac:dyDescent="0.25">
      <c r="G465" s="61">
        <f>H457+H458+H460+H461+H462+SUM(H464:H464)</f>
        <v>69.02000000000001</v>
      </c>
      <c r="H465" s="61"/>
      <c r="J465" s="61">
        <f>K457+K458+K460+K461+K462+SUM(K464:K464)</f>
        <v>423.22</v>
      </c>
      <c r="K465" s="61"/>
      <c r="L465" s="37">
        <f>Source!U159</f>
        <v>1.25952</v>
      </c>
      <c r="O465" s="23">
        <f>G465</f>
        <v>69.02000000000001</v>
      </c>
      <c r="P465" s="23">
        <f>J465</f>
        <v>423.22</v>
      </c>
      <c r="Q465" s="23">
        <f>L465</f>
        <v>1.25952</v>
      </c>
      <c r="W465">
        <f>IF(Source!BI159&lt;=1,H457+H458+H460+H461+H462, 0)</f>
        <v>0</v>
      </c>
      <c r="X465">
        <f>IF(Source!BI159=2,H457+H458+H460+H461+H462, 0)</f>
        <v>34.14</v>
      </c>
      <c r="Y465">
        <f>IF(Source!BI159=3,H457+H458+H460+H461+H462, 0)</f>
        <v>0</v>
      </c>
      <c r="Z465">
        <f>IF(Source!BI159=4,H457+H458+H460+H461+H462, 0)</f>
        <v>0</v>
      </c>
    </row>
    <row r="466" spans="1:26" ht="15" x14ac:dyDescent="0.25">
      <c r="A466" s="59" t="str">
        <f>CONCATENATE("Итого по разделу: ",IF(Source!G162&lt;&gt;"Новый раздел", Source!G162, ""))</f>
        <v>Итого по разделу: Система электроснабжения</v>
      </c>
      <c r="B466" s="59"/>
      <c r="C466" s="59"/>
      <c r="D466" s="59"/>
      <c r="E466" s="59"/>
      <c r="F466" s="59"/>
      <c r="G466" s="60">
        <f>SUM(O328:O465)</f>
        <v>28845.01</v>
      </c>
      <c r="H466" s="60"/>
      <c r="I466" s="24"/>
      <c r="J466" s="60">
        <f>SUM(P328:P465)</f>
        <v>176820</v>
      </c>
      <c r="K466" s="60"/>
      <c r="L466" s="37">
        <f>SUM(Q328:Q465)</f>
        <v>151.01688000000001</v>
      </c>
    </row>
    <row r="467" spans="1:26" ht="16.5" x14ac:dyDescent="0.25">
      <c r="A467" s="64" t="str">
        <f>CONCATENATE("Раздел: ",IF(Source!G191&lt;&gt;"Новый раздел", Source!G191, ""))</f>
        <v>Раздел: Пусконаладочные работы систем электроснабжения и электроосвещения</v>
      </c>
      <c r="B467" s="64"/>
      <c r="C467" s="64"/>
      <c r="D467" s="64"/>
      <c r="E467" s="64"/>
      <c r="F467" s="64"/>
      <c r="G467" s="64"/>
      <c r="H467" s="64"/>
      <c r="I467" s="64"/>
      <c r="J467" s="64"/>
      <c r="K467" s="64"/>
      <c r="L467" s="64"/>
    </row>
    <row r="468" spans="1:26" ht="114" x14ac:dyDescent="0.2">
      <c r="A468" s="42" t="str">
        <f>Source!E195</f>
        <v>41</v>
      </c>
      <c r="B468" s="43" t="str">
        <f>Source!F195</f>
        <v>п01-11-028-01</v>
      </c>
      <c r="C468" s="43" t="str">
        <f>Source!G195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468" s="26" t="str">
        <f>Source!H195</f>
        <v>ШТ</v>
      </c>
      <c r="E468" s="10">
        <f>Source!I195</f>
        <v>20</v>
      </c>
      <c r="F468" s="27">
        <f>Source!AL195+Source!AM195+Source!AO195</f>
        <v>4.0999999999999996</v>
      </c>
      <c r="G468" s="28"/>
      <c r="H468" s="27"/>
      <c r="I468" s="28" t="str">
        <f>Source!BO195</f>
        <v/>
      </c>
      <c r="J468" s="28"/>
      <c r="K468" s="27"/>
      <c r="L468" s="29"/>
      <c r="S468">
        <f>ROUND((Source!FX195/100)*((ROUND(Source!AF195*Source!I195, 2)+ROUND(Source!AE195*Source!I195, 2))), 2)</f>
        <v>42.64</v>
      </c>
      <c r="T468">
        <f>Source!X195</f>
        <v>610.6</v>
      </c>
      <c r="U468">
        <f>ROUND((Source!FY195/100)*((ROUND(Source!AF195*Source!I195, 2)+ROUND(Source!AE195*Source!I195, 2))), 2)</f>
        <v>26.24</v>
      </c>
      <c r="V468">
        <f>Source!Y195</f>
        <v>375.76</v>
      </c>
    </row>
    <row r="469" spans="1:26" ht="14.25" x14ac:dyDescent="0.2">
      <c r="A469" s="42"/>
      <c r="B469" s="43"/>
      <c r="C469" s="43" t="s">
        <v>1302</v>
      </c>
      <c r="D469" s="26"/>
      <c r="E469" s="10"/>
      <c r="F469" s="27">
        <f>Source!AO195</f>
        <v>4.0999999999999996</v>
      </c>
      <c r="G469" s="28" t="str">
        <f>Source!DG195</f>
        <v>)*0,8</v>
      </c>
      <c r="H469" s="27">
        <f>ROUND(Source!AF195*Source!I195, 2)</f>
        <v>65.599999999999994</v>
      </c>
      <c r="I469" s="28"/>
      <c r="J469" s="28">
        <f>IF(Source!BA195&lt;&gt; 0, Source!BA195, 1)</f>
        <v>14.32</v>
      </c>
      <c r="K469" s="27">
        <f>Source!S195</f>
        <v>939.39</v>
      </c>
      <c r="L469" s="29"/>
      <c r="R469">
        <f>H469</f>
        <v>65.599999999999994</v>
      </c>
    </row>
    <row r="470" spans="1:26" ht="14.25" x14ac:dyDescent="0.2">
      <c r="A470" s="42"/>
      <c r="B470" s="43"/>
      <c r="C470" s="43" t="s">
        <v>1304</v>
      </c>
      <c r="D470" s="26" t="s">
        <v>1305</v>
      </c>
      <c r="E470" s="10">
        <f>Source!BZ195</f>
        <v>65</v>
      </c>
      <c r="F470" s="46"/>
      <c r="G470" s="28"/>
      <c r="H470" s="27">
        <f>SUM(S468:S472)</f>
        <v>42.64</v>
      </c>
      <c r="I470" s="31"/>
      <c r="J470" s="25">
        <f>Source!AT195</f>
        <v>65</v>
      </c>
      <c r="K470" s="27">
        <f>SUM(T468:T472)</f>
        <v>610.6</v>
      </c>
      <c r="L470" s="29"/>
    </row>
    <row r="471" spans="1:26" ht="14.25" x14ac:dyDescent="0.2">
      <c r="A471" s="42"/>
      <c r="B471" s="43"/>
      <c r="C471" s="43" t="s">
        <v>1306</v>
      </c>
      <c r="D471" s="26" t="s">
        <v>1305</v>
      </c>
      <c r="E471" s="10">
        <f>Source!CA195</f>
        <v>40</v>
      </c>
      <c r="F471" s="46"/>
      <c r="G471" s="28"/>
      <c r="H471" s="27">
        <f>SUM(U468:U472)</f>
        <v>26.24</v>
      </c>
      <c r="I471" s="31"/>
      <c r="J471" s="25">
        <f>Source!AU195</f>
        <v>40</v>
      </c>
      <c r="K471" s="27">
        <f>SUM(V468:V472)</f>
        <v>375.76</v>
      </c>
      <c r="L471" s="29"/>
    </row>
    <row r="472" spans="1:26" ht="14.25" x14ac:dyDescent="0.2">
      <c r="A472" s="44"/>
      <c r="B472" s="45"/>
      <c r="C472" s="45" t="s">
        <v>1307</v>
      </c>
      <c r="D472" s="32" t="s">
        <v>1308</v>
      </c>
      <c r="E472" s="33">
        <f>Source!AQ195</f>
        <v>0.32</v>
      </c>
      <c r="F472" s="34"/>
      <c r="G472" s="35" t="str">
        <f>Source!DI195</f>
        <v>)*0,8</v>
      </c>
      <c r="H472" s="34"/>
      <c r="I472" s="35"/>
      <c r="J472" s="35"/>
      <c r="K472" s="34"/>
      <c r="L472" s="36">
        <f>Source!U195</f>
        <v>5.12</v>
      </c>
    </row>
    <row r="473" spans="1:26" ht="15" x14ac:dyDescent="0.25">
      <c r="G473" s="61">
        <f>H469+H470+H471</f>
        <v>134.47999999999999</v>
      </c>
      <c r="H473" s="61"/>
      <c r="J473" s="61">
        <f>K469+K470+K471</f>
        <v>1925.75</v>
      </c>
      <c r="K473" s="61"/>
      <c r="L473" s="37">
        <f>Source!U195</f>
        <v>5.12</v>
      </c>
      <c r="O473" s="23">
        <f>G473</f>
        <v>134.47999999999999</v>
      </c>
      <c r="P473" s="23">
        <f>J473</f>
        <v>1925.75</v>
      </c>
      <c r="Q473" s="23">
        <f>L473</f>
        <v>5.12</v>
      </c>
      <c r="W473">
        <f>IF(Source!BI195&lt;=1,H469+H470+H471, 0)</f>
        <v>0</v>
      </c>
      <c r="X473">
        <f>IF(Source!BI195=2,H469+H470+H471, 0)</f>
        <v>0</v>
      </c>
      <c r="Y473">
        <f>IF(Source!BI195=3,H469+H470+H471, 0)</f>
        <v>0</v>
      </c>
      <c r="Z473">
        <f>IF(Source!BI195=4,H469+H470+H471, 0)</f>
        <v>134.47999999999999</v>
      </c>
    </row>
    <row r="474" spans="1:26" ht="42.75" x14ac:dyDescent="0.2">
      <c r="A474" s="42" t="str">
        <f>Source!E196</f>
        <v>42</v>
      </c>
      <c r="B474" s="43" t="str">
        <f>Source!F196</f>
        <v>п01-11-011-01</v>
      </c>
      <c r="C474" s="43" t="str">
        <f>Source!G196</f>
        <v>Проверка наличия цепи между заземлителями и заземленными элементами</v>
      </c>
      <c r="D474" s="26" t="str">
        <f>Source!H196</f>
        <v>100 измерений</v>
      </c>
      <c r="E474" s="10">
        <f>Source!I196</f>
        <v>0.12</v>
      </c>
      <c r="F474" s="27">
        <f>Source!AL196+Source!AM196+Source!AO196</f>
        <v>165.95</v>
      </c>
      <c r="G474" s="28"/>
      <c r="H474" s="27"/>
      <c r="I474" s="28" t="str">
        <f>Source!BO196</f>
        <v/>
      </c>
      <c r="J474" s="28"/>
      <c r="K474" s="27"/>
      <c r="L474" s="29"/>
      <c r="S474">
        <f>ROUND((Source!FX196/100)*((ROUND(Source!AF196*Source!I196, 2)+ROUND(Source!AE196*Source!I196, 2))), 2)</f>
        <v>10.35</v>
      </c>
      <c r="T474">
        <f>Source!X196</f>
        <v>148.28</v>
      </c>
      <c r="U474">
        <f>ROUND((Source!FY196/100)*((ROUND(Source!AF196*Source!I196, 2)+ROUND(Source!AE196*Source!I196, 2))), 2)</f>
        <v>6.37</v>
      </c>
      <c r="V474">
        <f>Source!Y196</f>
        <v>91.25</v>
      </c>
    </row>
    <row r="475" spans="1:26" x14ac:dyDescent="0.2">
      <c r="C475" s="22" t="str">
        <f>"Объем: "&amp;Source!I196&amp;"=12/"&amp;"100"</f>
        <v>Объем: 0,12=12/100</v>
      </c>
    </row>
    <row r="476" spans="1:26" ht="14.25" x14ac:dyDescent="0.2">
      <c r="A476" s="42"/>
      <c r="B476" s="43"/>
      <c r="C476" s="43" t="s">
        <v>1302</v>
      </c>
      <c r="D476" s="26"/>
      <c r="E476" s="10"/>
      <c r="F476" s="27">
        <f>Source!AO196</f>
        <v>165.95</v>
      </c>
      <c r="G476" s="28" t="str">
        <f>Source!DG196</f>
        <v>)*0,8</v>
      </c>
      <c r="H476" s="27">
        <f>ROUND(Source!AF196*Source!I196, 2)</f>
        <v>15.93</v>
      </c>
      <c r="I476" s="28"/>
      <c r="J476" s="28">
        <f>IF(Source!BA196&lt;&gt; 0, Source!BA196, 1)</f>
        <v>14.32</v>
      </c>
      <c r="K476" s="27">
        <f>Source!S196</f>
        <v>228.13</v>
      </c>
      <c r="L476" s="29"/>
      <c r="R476">
        <f>H476</f>
        <v>15.93</v>
      </c>
    </row>
    <row r="477" spans="1:26" ht="14.25" x14ac:dyDescent="0.2">
      <c r="A477" s="42"/>
      <c r="B477" s="43"/>
      <c r="C477" s="43" t="s">
        <v>1304</v>
      </c>
      <c r="D477" s="26" t="s">
        <v>1305</v>
      </c>
      <c r="E477" s="10">
        <f>Source!BZ196</f>
        <v>65</v>
      </c>
      <c r="F477" s="46"/>
      <c r="G477" s="28"/>
      <c r="H477" s="27">
        <f>SUM(S474:S479)</f>
        <v>10.35</v>
      </c>
      <c r="I477" s="31"/>
      <c r="J477" s="25">
        <f>Source!AT196</f>
        <v>65</v>
      </c>
      <c r="K477" s="27">
        <f>SUM(T474:T479)</f>
        <v>148.28</v>
      </c>
      <c r="L477" s="29"/>
    </row>
    <row r="478" spans="1:26" ht="14.25" x14ac:dyDescent="0.2">
      <c r="A478" s="42"/>
      <c r="B478" s="43"/>
      <c r="C478" s="43" t="s">
        <v>1306</v>
      </c>
      <c r="D478" s="26" t="s">
        <v>1305</v>
      </c>
      <c r="E478" s="10">
        <f>Source!CA196</f>
        <v>40</v>
      </c>
      <c r="F478" s="46"/>
      <c r="G478" s="28"/>
      <c r="H478" s="27">
        <f>SUM(U474:U479)</f>
        <v>6.37</v>
      </c>
      <c r="I478" s="31"/>
      <c r="J478" s="25">
        <f>Source!AU196</f>
        <v>40</v>
      </c>
      <c r="K478" s="27">
        <f>SUM(V474:V479)</f>
        <v>91.25</v>
      </c>
      <c r="L478" s="29"/>
    </row>
    <row r="479" spans="1:26" ht="14.25" x14ac:dyDescent="0.2">
      <c r="A479" s="44"/>
      <c r="B479" s="45"/>
      <c r="C479" s="45" t="s">
        <v>1307</v>
      </c>
      <c r="D479" s="32" t="s">
        <v>1308</v>
      </c>
      <c r="E479" s="33">
        <f>Source!AQ196</f>
        <v>12.96</v>
      </c>
      <c r="F479" s="34"/>
      <c r="G479" s="35" t="str">
        <f>Source!DI196</f>
        <v>)*0,8</v>
      </c>
      <c r="H479" s="34"/>
      <c r="I479" s="35"/>
      <c r="J479" s="35"/>
      <c r="K479" s="34"/>
      <c r="L479" s="36">
        <f>Source!U196</f>
        <v>1.2441600000000002</v>
      </c>
    </row>
    <row r="480" spans="1:26" ht="15" x14ac:dyDescent="0.25">
      <c r="G480" s="61">
        <f>H476+H477+H478</f>
        <v>32.65</v>
      </c>
      <c r="H480" s="61"/>
      <c r="J480" s="61">
        <f>K476+K477+K478</f>
        <v>467.65999999999997</v>
      </c>
      <c r="K480" s="61"/>
      <c r="L480" s="37">
        <f>Source!U196</f>
        <v>1.2441600000000002</v>
      </c>
      <c r="O480" s="23">
        <f>G480</f>
        <v>32.65</v>
      </c>
      <c r="P480" s="23">
        <f>J480</f>
        <v>467.65999999999997</v>
      </c>
      <c r="Q480" s="23">
        <f>L480</f>
        <v>1.2441600000000002</v>
      </c>
      <c r="W480">
        <f>IF(Source!BI196&lt;=1,H476+H477+H478, 0)</f>
        <v>0</v>
      </c>
      <c r="X480">
        <f>IF(Source!BI196=2,H476+H477+H478, 0)</f>
        <v>0</v>
      </c>
      <c r="Y480">
        <f>IF(Source!BI196=3,H476+H477+H478, 0)</f>
        <v>0</v>
      </c>
      <c r="Z480">
        <f>IF(Source!BI196=4,H476+H477+H478, 0)</f>
        <v>32.65</v>
      </c>
    </row>
    <row r="481" spans="1:32" ht="28.5" x14ac:dyDescent="0.2">
      <c r="A481" s="42" t="str">
        <f>Source!E197</f>
        <v>43</v>
      </c>
      <c r="B481" s="43" t="str">
        <f>Source!F197</f>
        <v>п01-11-013-01</v>
      </c>
      <c r="C481" s="43" t="str">
        <f>Source!G197</f>
        <v>Замер полного сопротивления цепи "фаза-нуль"</v>
      </c>
      <c r="D481" s="26" t="str">
        <f>Source!H197</f>
        <v>ШТ</v>
      </c>
      <c r="E481" s="10">
        <f>Source!I197</f>
        <v>4</v>
      </c>
      <c r="F481" s="27">
        <f>Source!AL197+Source!AM197+Source!AO197</f>
        <v>15.62</v>
      </c>
      <c r="G481" s="28"/>
      <c r="H481" s="27"/>
      <c r="I481" s="28" t="str">
        <f>Source!BO197</f>
        <v/>
      </c>
      <c r="J481" s="28"/>
      <c r="K481" s="27"/>
      <c r="L481" s="29"/>
      <c r="S481">
        <f>ROUND((Source!FX197/100)*((ROUND(Source!AF197*Source!I197, 2)+ROUND(Source!AE197*Source!I197, 2))), 2)</f>
        <v>32.5</v>
      </c>
      <c r="T481">
        <f>Source!X197</f>
        <v>465.4</v>
      </c>
      <c r="U481">
        <f>ROUND((Source!FY197/100)*((ROUND(Source!AF197*Source!I197, 2)+ROUND(Source!AE197*Source!I197, 2))), 2)</f>
        <v>20</v>
      </c>
      <c r="V481">
        <f>Source!Y197</f>
        <v>286.39999999999998</v>
      </c>
    </row>
    <row r="482" spans="1:32" ht="14.25" x14ac:dyDescent="0.2">
      <c r="A482" s="42"/>
      <c r="B482" s="43"/>
      <c r="C482" s="43" t="s">
        <v>1302</v>
      </c>
      <c r="D482" s="26"/>
      <c r="E482" s="10"/>
      <c r="F482" s="27">
        <f>Source!AO197</f>
        <v>15.62</v>
      </c>
      <c r="G482" s="28" t="str">
        <f>Source!DG197</f>
        <v>)*0,8</v>
      </c>
      <c r="H482" s="27">
        <f>ROUND(Source!AF197*Source!I197, 2)</f>
        <v>50</v>
      </c>
      <c r="I482" s="28"/>
      <c r="J482" s="28">
        <f>IF(Source!BA197&lt;&gt; 0, Source!BA197, 1)</f>
        <v>14.32</v>
      </c>
      <c r="K482" s="27">
        <f>Source!S197</f>
        <v>716</v>
      </c>
      <c r="L482" s="29"/>
      <c r="R482">
        <f>H482</f>
        <v>50</v>
      </c>
    </row>
    <row r="483" spans="1:32" ht="14.25" x14ac:dyDescent="0.2">
      <c r="A483" s="42"/>
      <c r="B483" s="43"/>
      <c r="C483" s="43" t="s">
        <v>1304</v>
      </c>
      <c r="D483" s="26" t="s">
        <v>1305</v>
      </c>
      <c r="E483" s="10">
        <f>Source!BZ197</f>
        <v>65</v>
      </c>
      <c r="F483" s="46"/>
      <c r="G483" s="28"/>
      <c r="H483" s="27">
        <f>SUM(S481:S485)</f>
        <v>32.5</v>
      </c>
      <c r="I483" s="31"/>
      <c r="J483" s="25">
        <f>Source!AT197</f>
        <v>65</v>
      </c>
      <c r="K483" s="27">
        <f>SUM(T481:T485)</f>
        <v>465.4</v>
      </c>
      <c r="L483" s="29"/>
    </row>
    <row r="484" spans="1:32" ht="14.25" x14ac:dyDescent="0.2">
      <c r="A484" s="42"/>
      <c r="B484" s="43"/>
      <c r="C484" s="43" t="s">
        <v>1306</v>
      </c>
      <c r="D484" s="26" t="s">
        <v>1305</v>
      </c>
      <c r="E484" s="10">
        <f>Source!CA197</f>
        <v>40</v>
      </c>
      <c r="F484" s="46"/>
      <c r="G484" s="28"/>
      <c r="H484" s="27">
        <f>SUM(U481:U485)</f>
        <v>20</v>
      </c>
      <c r="I484" s="31"/>
      <c r="J484" s="25">
        <f>Source!AU197</f>
        <v>40</v>
      </c>
      <c r="K484" s="27">
        <f>SUM(V481:V485)</f>
        <v>286.39999999999998</v>
      </c>
      <c r="L484" s="29"/>
    </row>
    <row r="485" spans="1:32" ht="14.25" x14ac:dyDescent="0.2">
      <c r="A485" s="44"/>
      <c r="B485" s="45"/>
      <c r="C485" s="45" t="s">
        <v>1307</v>
      </c>
      <c r="D485" s="32" t="s">
        <v>1308</v>
      </c>
      <c r="E485" s="33">
        <f>Source!AQ197</f>
        <v>1.22</v>
      </c>
      <c r="F485" s="34"/>
      <c r="G485" s="35" t="str">
        <f>Source!DI197</f>
        <v>)*0,8</v>
      </c>
      <c r="H485" s="34"/>
      <c r="I485" s="35"/>
      <c r="J485" s="35"/>
      <c r="K485" s="34"/>
      <c r="L485" s="36">
        <f>Source!U197</f>
        <v>3.9039999999999999</v>
      </c>
    </row>
    <row r="486" spans="1:32" ht="15" x14ac:dyDescent="0.25">
      <c r="G486" s="61">
        <f>H482+H483+H484</f>
        <v>102.5</v>
      </c>
      <c r="H486" s="61"/>
      <c r="J486" s="61">
        <f>K482+K483+K484</f>
        <v>1467.8000000000002</v>
      </c>
      <c r="K486" s="61"/>
      <c r="L486" s="37">
        <f>Source!U197</f>
        <v>3.9039999999999999</v>
      </c>
      <c r="O486" s="23">
        <f>G486</f>
        <v>102.5</v>
      </c>
      <c r="P486" s="23">
        <f>J486</f>
        <v>1467.8000000000002</v>
      </c>
      <c r="Q486" s="23">
        <f>L486</f>
        <v>3.9039999999999999</v>
      </c>
      <c r="W486">
        <f>IF(Source!BI197&lt;=1,H482+H483+H484, 0)</f>
        <v>0</v>
      </c>
      <c r="X486">
        <f>IF(Source!BI197=2,H482+H483+H484, 0)</f>
        <v>0</v>
      </c>
      <c r="Y486">
        <f>IF(Source!BI197=3,H482+H483+H484, 0)</f>
        <v>0</v>
      </c>
      <c r="Z486">
        <f>IF(Source!BI197=4,H482+H483+H484, 0)</f>
        <v>102.5</v>
      </c>
    </row>
    <row r="487" spans="1:32" ht="30" x14ac:dyDescent="0.25">
      <c r="A487" s="59" t="str">
        <f>CONCATENATE("Итого по разделу: ",IF(Source!G199&lt;&gt;"Новый раздел", Source!G199, ""))</f>
        <v>Итого по разделу: Пусконаладочные работы систем электроснабжения и электроосвещения</v>
      </c>
      <c r="B487" s="59"/>
      <c r="C487" s="59"/>
      <c r="D487" s="59"/>
      <c r="E487" s="59"/>
      <c r="F487" s="59"/>
      <c r="G487" s="60">
        <f>SUM(O467:O486)</f>
        <v>269.63</v>
      </c>
      <c r="H487" s="60"/>
      <c r="I487" s="24"/>
      <c r="J487" s="60">
        <f>SUM(P467:P486)</f>
        <v>3861.21</v>
      </c>
      <c r="K487" s="60"/>
      <c r="L487" s="37">
        <f>SUM(Q467:Q486)</f>
        <v>10.26816</v>
      </c>
      <c r="AF487" s="48" t="str">
        <f>CONCATENATE("Итого по разделу: ",IF(Source!G199&lt;&gt;"Новый раздел", Source!G199, ""))</f>
        <v>Итого по разделу: Пусконаладочные работы систем электроснабжения и электроосвещения</v>
      </c>
    </row>
    <row r="488" spans="1:32" ht="16.5" x14ac:dyDescent="0.25">
      <c r="A488" s="64" t="str">
        <f>CONCATENATE("Раздел: ",IF(Source!G228&lt;&gt;"Новый раздел", Source!G228, ""))</f>
        <v>Раздел: Система водоснабжения и канализации</v>
      </c>
      <c r="B488" s="64"/>
      <c r="C488" s="64"/>
      <c r="D488" s="64"/>
      <c r="E488" s="64"/>
      <c r="F488" s="64"/>
      <c r="G488" s="64"/>
      <c r="H488" s="64"/>
      <c r="I488" s="64"/>
      <c r="J488" s="64"/>
      <c r="K488" s="64"/>
      <c r="L488" s="64"/>
    </row>
    <row r="489" spans="1:32" ht="14.25" x14ac:dyDescent="0.2">
      <c r="A489" s="42" t="str">
        <f>Source!E232</f>
        <v>44</v>
      </c>
      <c r="B489" s="43" t="str">
        <f>Source!F232</f>
        <v>65-3-7</v>
      </c>
      <c r="C489" s="43" t="str">
        <f>Source!G232</f>
        <v>Снятие смесителя без душевой сетки</v>
      </c>
      <c r="D489" s="26" t="str">
        <f>Source!H232</f>
        <v>100 ШТ</v>
      </c>
      <c r="E489" s="10">
        <f>Source!I232</f>
        <v>0.01</v>
      </c>
      <c r="F489" s="27">
        <f>Source!AL232+Source!AM232+Source!AO232</f>
        <v>315.33</v>
      </c>
      <c r="G489" s="28"/>
      <c r="H489" s="27"/>
      <c r="I489" s="28" t="str">
        <f>Source!BO232</f>
        <v/>
      </c>
      <c r="J489" s="28"/>
      <c r="K489" s="27"/>
      <c r="L489" s="29"/>
      <c r="S489">
        <f>ROUND((Source!FX232/100)*((ROUND(Source!AF232*Source!I232, 2)+ROUND(Source!AE232*Source!I232, 2))), 2)</f>
        <v>2.3199999999999998</v>
      </c>
      <c r="T489">
        <f>Source!X232</f>
        <v>14.25</v>
      </c>
      <c r="U489">
        <f>ROUND((Source!FY232/100)*((ROUND(Source!AF232*Source!I232, 2)+ROUND(Source!AE232*Source!I232, 2))), 2)</f>
        <v>1.57</v>
      </c>
      <c r="V489">
        <f>Source!Y232</f>
        <v>9.6300000000000008</v>
      </c>
    </row>
    <row r="490" spans="1:32" x14ac:dyDescent="0.2">
      <c r="C490" s="22" t="str">
        <f>"Объем: "&amp;Source!I232&amp;"=1/"&amp;"100"</f>
        <v>Объем: 0,01=1/100</v>
      </c>
    </row>
    <row r="491" spans="1:32" ht="14.25" x14ac:dyDescent="0.2">
      <c r="A491" s="42"/>
      <c r="B491" s="43"/>
      <c r="C491" s="43" t="s">
        <v>1302</v>
      </c>
      <c r="D491" s="26"/>
      <c r="E491" s="10"/>
      <c r="F491" s="27">
        <f>Source!AO232</f>
        <v>313.14</v>
      </c>
      <c r="G491" s="28" t="str">
        <f>Source!DG232</f>
        <v/>
      </c>
      <c r="H491" s="27">
        <f>ROUND(Source!AF232*Source!I232, 2)</f>
        <v>3.13</v>
      </c>
      <c r="I491" s="28"/>
      <c r="J491" s="28">
        <f>IF(Source!BA232&lt;&gt; 0, Source!BA232, 1)</f>
        <v>6.13</v>
      </c>
      <c r="K491" s="27">
        <f>Source!S232</f>
        <v>19.2</v>
      </c>
      <c r="L491" s="29"/>
      <c r="R491">
        <f>H491</f>
        <v>3.13</v>
      </c>
    </row>
    <row r="492" spans="1:32" ht="14.25" x14ac:dyDescent="0.2">
      <c r="A492" s="42"/>
      <c r="B492" s="43"/>
      <c r="C492" s="43" t="s">
        <v>334</v>
      </c>
      <c r="D492" s="26"/>
      <c r="E492" s="10"/>
      <c r="F492" s="27">
        <f>Source!AM232</f>
        <v>2.19</v>
      </c>
      <c r="G492" s="28" t="str">
        <f>Source!DE232</f>
        <v/>
      </c>
      <c r="H492" s="27">
        <f>ROUND(Source!AD232*Source!I232, 2)</f>
        <v>0.02</v>
      </c>
      <c r="I492" s="28"/>
      <c r="J492" s="28">
        <f>IF(Source!BB232&lt;&gt; 0, Source!BB232, 1)</f>
        <v>6.13</v>
      </c>
      <c r="K492" s="27">
        <f>Source!Q232</f>
        <v>0.13</v>
      </c>
      <c r="L492" s="29"/>
    </row>
    <row r="493" spans="1:32" ht="14.25" x14ac:dyDescent="0.2">
      <c r="A493" s="42"/>
      <c r="B493" s="43"/>
      <c r="C493" s="43" t="s">
        <v>1303</v>
      </c>
      <c r="D493" s="26"/>
      <c r="E493" s="10"/>
      <c r="F493" s="27">
        <f>Source!AN232</f>
        <v>0.95</v>
      </c>
      <c r="G493" s="28" t="str">
        <f>Source!DF232</f>
        <v/>
      </c>
      <c r="H493" s="30">
        <f>ROUND(Source!AE232*Source!I232, 2)</f>
        <v>0.01</v>
      </c>
      <c r="I493" s="28"/>
      <c r="J493" s="28">
        <f>IF(Source!BS232&lt;&gt; 0, Source!BS232, 1)</f>
        <v>6.13</v>
      </c>
      <c r="K493" s="30">
        <f>Source!R232</f>
        <v>0.06</v>
      </c>
      <c r="L493" s="29"/>
      <c r="R493">
        <f>H493</f>
        <v>0.01</v>
      </c>
    </row>
    <row r="494" spans="1:32" ht="14.25" x14ac:dyDescent="0.2">
      <c r="A494" s="42"/>
      <c r="B494" s="43"/>
      <c r="C494" s="43" t="s">
        <v>1304</v>
      </c>
      <c r="D494" s="26" t="s">
        <v>1305</v>
      </c>
      <c r="E494" s="10">
        <f>Source!BZ232</f>
        <v>74</v>
      </c>
      <c r="F494" s="46"/>
      <c r="G494" s="28"/>
      <c r="H494" s="27">
        <f>SUM(S489:S496)</f>
        <v>2.3199999999999998</v>
      </c>
      <c r="I494" s="31"/>
      <c r="J494" s="25">
        <f>Source!AT232</f>
        <v>74</v>
      </c>
      <c r="K494" s="27">
        <f>SUM(T489:T496)</f>
        <v>14.25</v>
      </c>
      <c r="L494" s="29"/>
    </row>
    <row r="495" spans="1:32" ht="14.25" x14ac:dyDescent="0.2">
      <c r="A495" s="42"/>
      <c r="B495" s="43"/>
      <c r="C495" s="43" t="s">
        <v>1306</v>
      </c>
      <c r="D495" s="26" t="s">
        <v>1305</v>
      </c>
      <c r="E495" s="10">
        <f>Source!CA232</f>
        <v>50</v>
      </c>
      <c r="F495" s="46"/>
      <c r="G495" s="28"/>
      <c r="H495" s="27">
        <f>SUM(U489:U496)</f>
        <v>1.57</v>
      </c>
      <c r="I495" s="31"/>
      <c r="J495" s="25">
        <f>Source!AU232</f>
        <v>50</v>
      </c>
      <c r="K495" s="27">
        <f>SUM(V489:V496)</f>
        <v>9.6300000000000008</v>
      </c>
      <c r="L495" s="29"/>
    </row>
    <row r="496" spans="1:32" ht="14.25" x14ac:dyDescent="0.2">
      <c r="A496" s="44"/>
      <c r="B496" s="45"/>
      <c r="C496" s="45" t="s">
        <v>1307</v>
      </c>
      <c r="D496" s="32" t="s">
        <v>1308</v>
      </c>
      <c r="E496" s="33">
        <f>Source!AQ232</f>
        <v>36.71</v>
      </c>
      <c r="F496" s="34"/>
      <c r="G496" s="35" t="str">
        <f>Source!DI232</f>
        <v/>
      </c>
      <c r="H496" s="34"/>
      <c r="I496" s="35"/>
      <c r="J496" s="35"/>
      <c r="K496" s="34"/>
      <c r="L496" s="36">
        <f>Source!U232</f>
        <v>0.36710000000000004</v>
      </c>
    </row>
    <row r="497" spans="1:26" ht="15" x14ac:dyDescent="0.25">
      <c r="G497" s="61">
        <f>H491+H492+H494+H495</f>
        <v>7.04</v>
      </c>
      <c r="H497" s="61"/>
      <c r="J497" s="61">
        <f>K491+K492+K494+K495</f>
        <v>43.21</v>
      </c>
      <c r="K497" s="61"/>
      <c r="L497" s="37">
        <f>Source!U232</f>
        <v>0.36710000000000004</v>
      </c>
      <c r="O497" s="23">
        <f>G497</f>
        <v>7.04</v>
      </c>
      <c r="P497" s="23">
        <f>J497</f>
        <v>43.21</v>
      </c>
      <c r="Q497" s="23">
        <f>L497</f>
        <v>0.36710000000000004</v>
      </c>
      <c r="W497">
        <f>IF(Source!BI232&lt;=1,H491+H492+H494+H495, 0)</f>
        <v>7.04</v>
      </c>
      <c r="X497">
        <f>IF(Source!BI232=2,H491+H492+H494+H495, 0)</f>
        <v>0</v>
      </c>
      <c r="Y497">
        <f>IF(Source!BI232=3,H491+H492+H494+H495, 0)</f>
        <v>0</v>
      </c>
      <c r="Z497">
        <f>IF(Source!BI232=4,H491+H492+H494+H495, 0)</f>
        <v>0</v>
      </c>
    </row>
    <row r="498" spans="1:26" ht="14.25" x14ac:dyDescent="0.2">
      <c r="A498" s="42" t="str">
        <f>Source!E233</f>
        <v>45</v>
      </c>
      <c r="B498" s="43" t="str">
        <f>Source!F233</f>
        <v>65-4-1</v>
      </c>
      <c r="C498" s="43" t="str">
        <f>Source!G233</f>
        <v>Демонтаж умывальников и раковин</v>
      </c>
      <c r="D498" s="26" t="str">
        <f>Source!H233</f>
        <v>100 ШТ</v>
      </c>
      <c r="E498" s="10">
        <f>Source!I233</f>
        <v>0.01</v>
      </c>
      <c r="F498" s="27">
        <f>Source!AL233+Source!AM233+Source!AO233</f>
        <v>445.71999999999997</v>
      </c>
      <c r="G498" s="28"/>
      <c r="H498" s="27"/>
      <c r="I498" s="28" t="str">
        <f>Source!BO233</f>
        <v/>
      </c>
      <c r="J498" s="28"/>
      <c r="K498" s="27"/>
      <c r="L498" s="29"/>
      <c r="S498">
        <f>ROUND((Source!FX233/100)*((ROUND(Source!AF233*Source!I233, 2)+ROUND(Source!AE233*Source!I233, 2))), 2)</f>
        <v>3.27</v>
      </c>
      <c r="T498">
        <f>Source!X233</f>
        <v>20.010000000000002</v>
      </c>
      <c r="U498">
        <f>ROUND((Source!FY233/100)*((ROUND(Source!AF233*Source!I233, 2)+ROUND(Source!AE233*Source!I233, 2))), 2)</f>
        <v>2.21</v>
      </c>
      <c r="V498">
        <f>Source!Y233</f>
        <v>13.52</v>
      </c>
    </row>
    <row r="499" spans="1:26" x14ac:dyDescent="0.2">
      <c r="C499" s="22" t="str">
        <f>"Объем: "&amp;Source!I233&amp;"=1/"&amp;"100"</f>
        <v>Объем: 0,01=1/100</v>
      </c>
    </row>
    <row r="500" spans="1:26" ht="14.25" x14ac:dyDescent="0.2">
      <c r="A500" s="42"/>
      <c r="B500" s="43"/>
      <c r="C500" s="43" t="s">
        <v>1302</v>
      </c>
      <c r="D500" s="26"/>
      <c r="E500" s="10"/>
      <c r="F500" s="27">
        <f>Source!AO233</f>
        <v>437.59</v>
      </c>
      <c r="G500" s="28" t="str">
        <f>Source!DG233</f>
        <v/>
      </c>
      <c r="H500" s="27">
        <f>ROUND(Source!AF233*Source!I233, 2)</f>
        <v>4.38</v>
      </c>
      <c r="I500" s="28"/>
      <c r="J500" s="28">
        <f>IF(Source!BA233&lt;&gt; 0, Source!BA233, 1)</f>
        <v>6.13</v>
      </c>
      <c r="K500" s="27">
        <f>Source!S233</f>
        <v>26.82</v>
      </c>
      <c r="L500" s="29"/>
      <c r="R500">
        <f>H500</f>
        <v>4.38</v>
      </c>
    </row>
    <row r="501" spans="1:26" ht="14.25" x14ac:dyDescent="0.2">
      <c r="A501" s="42"/>
      <c r="B501" s="43"/>
      <c r="C501" s="43" t="s">
        <v>334</v>
      </c>
      <c r="D501" s="26"/>
      <c r="E501" s="10"/>
      <c r="F501" s="27">
        <f>Source!AM233</f>
        <v>8.1300000000000008</v>
      </c>
      <c r="G501" s="28" t="str">
        <f>Source!DE233</f>
        <v/>
      </c>
      <c r="H501" s="27">
        <f>ROUND(Source!AD233*Source!I233, 2)</f>
        <v>0.08</v>
      </c>
      <c r="I501" s="28"/>
      <c r="J501" s="28">
        <f>IF(Source!BB233&lt;&gt; 0, Source!BB233, 1)</f>
        <v>6.13</v>
      </c>
      <c r="K501" s="27">
        <f>Source!Q233</f>
        <v>0.5</v>
      </c>
      <c r="L501" s="29"/>
    </row>
    <row r="502" spans="1:26" ht="14.25" x14ac:dyDescent="0.2">
      <c r="A502" s="42"/>
      <c r="B502" s="43"/>
      <c r="C502" s="43" t="s">
        <v>1303</v>
      </c>
      <c r="D502" s="26"/>
      <c r="E502" s="10"/>
      <c r="F502" s="27">
        <f>Source!AN233</f>
        <v>3.51</v>
      </c>
      <c r="G502" s="28" t="str">
        <f>Source!DF233</f>
        <v/>
      </c>
      <c r="H502" s="30">
        <f>ROUND(Source!AE233*Source!I233, 2)</f>
        <v>0.04</v>
      </c>
      <c r="I502" s="28"/>
      <c r="J502" s="28">
        <f>IF(Source!BS233&lt;&gt; 0, Source!BS233, 1)</f>
        <v>6.13</v>
      </c>
      <c r="K502" s="30">
        <f>Source!R233</f>
        <v>0.22</v>
      </c>
      <c r="L502" s="29"/>
      <c r="R502">
        <f>H502</f>
        <v>0.04</v>
      </c>
    </row>
    <row r="503" spans="1:26" ht="14.25" x14ac:dyDescent="0.2">
      <c r="A503" s="42"/>
      <c r="B503" s="43"/>
      <c r="C503" s="43" t="s">
        <v>1304</v>
      </c>
      <c r="D503" s="26" t="s">
        <v>1305</v>
      </c>
      <c r="E503" s="10">
        <f>Source!BZ233</f>
        <v>74</v>
      </c>
      <c r="F503" s="46"/>
      <c r="G503" s="28"/>
      <c r="H503" s="27">
        <f>SUM(S498:S505)</f>
        <v>3.27</v>
      </c>
      <c r="I503" s="31"/>
      <c r="J503" s="25">
        <f>Source!AT233</f>
        <v>74</v>
      </c>
      <c r="K503" s="27">
        <f>SUM(T498:T505)</f>
        <v>20.010000000000002</v>
      </c>
      <c r="L503" s="29"/>
    </row>
    <row r="504" spans="1:26" ht="14.25" x14ac:dyDescent="0.2">
      <c r="A504" s="42"/>
      <c r="B504" s="43"/>
      <c r="C504" s="43" t="s">
        <v>1306</v>
      </c>
      <c r="D504" s="26" t="s">
        <v>1305</v>
      </c>
      <c r="E504" s="10">
        <f>Source!CA233</f>
        <v>50</v>
      </c>
      <c r="F504" s="46"/>
      <c r="G504" s="28"/>
      <c r="H504" s="27">
        <f>SUM(U498:U505)</f>
        <v>2.21</v>
      </c>
      <c r="I504" s="31"/>
      <c r="J504" s="25">
        <f>Source!AU233</f>
        <v>50</v>
      </c>
      <c r="K504" s="27">
        <f>SUM(V498:V505)</f>
        <v>13.52</v>
      </c>
      <c r="L504" s="29"/>
    </row>
    <row r="505" spans="1:26" ht="14.25" x14ac:dyDescent="0.2">
      <c r="A505" s="44"/>
      <c r="B505" s="45"/>
      <c r="C505" s="45" t="s">
        <v>1307</v>
      </c>
      <c r="D505" s="32" t="s">
        <v>1308</v>
      </c>
      <c r="E505" s="33">
        <f>Source!AQ233</f>
        <v>51.3</v>
      </c>
      <c r="F505" s="34"/>
      <c r="G505" s="35" t="str">
        <f>Source!DI233</f>
        <v/>
      </c>
      <c r="H505" s="34"/>
      <c r="I505" s="35"/>
      <c r="J505" s="35"/>
      <c r="K505" s="34"/>
      <c r="L505" s="36">
        <f>Source!U233</f>
        <v>0.51300000000000001</v>
      </c>
    </row>
    <row r="506" spans="1:26" ht="15" x14ac:dyDescent="0.25">
      <c r="G506" s="61">
        <f>H500+H501+H503+H504</f>
        <v>9.9400000000000013</v>
      </c>
      <c r="H506" s="61"/>
      <c r="J506" s="61">
        <f>K500+K501+K503+K504</f>
        <v>60.849999999999994</v>
      </c>
      <c r="K506" s="61"/>
      <c r="L506" s="37">
        <f>Source!U233</f>
        <v>0.51300000000000001</v>
      </c>
      <c r="O506" s="23">
        <f>G506</f>
        <v>9.9400000000000013</v>
      </c>
      <c r="P506" s="23">
        <f>J506</f>
        <v>60.849999999999994</v>
      </c>
      <c r="Q506" s="23">
        <f>L506</f>
        <v>0.51300000000000001</v>
      </c>
      <c r="W506">
        <f>IF(Source!BI233&lt;=1,H500+H501+H503+H504, 0)</f>
        <v>9.9400000000000013</v>
      </c>
      <c r="X506">
        <f>IF(Source!BI233=2,H500+H501+H503+H504, 0)</f>
        <v>0</v>
      </c>
      <c r="Y506">
        <f>IF(Source!BI233=3,H500+H501+H503+H504, 0)</f>
        <v>0</v>
      </c>
      <c r="Z506">
        <f>IF(Source!BI233=4,H500+H501+H503+H504, 0)</f>
        <v>0</v>
      </c>
    </row>
    <row r="507" spans="1:26" ht="57" x14ac:dyDescent="0.2">
      <c r="A507" s="42" t="str">
        <f>Source!E234</f>
        <v>46</v>
      </c>
      <c r="B507" s="43" t="str">
        <f>Source!F234</f>
        <v>16-04-002-01</v>
      </c>
      <c r="C507" s="43" t="str">
        <f>Source!G234</f>
        <v>Прокладка трубопроводов водоснабжения из напорных полиэтиленовых труб наружным диаметром до 20 мм</v>
      </c>
      <c r="D507" s="26" t="str">
        <f>Source!H234</f>
        <v>100 м</v>
      </c>
      <c r="E507" s="10">
        <f>Source!I234</f>
        <v>1.4</v>
      </c>
      <c r="F507" s="27">
        <f>Source!AL234+Source!AM234+Source!AO234</f>
        <v>3300.53</v>
      </c>
      <c r="G507" s="28"/>
      <c r="H507" s="27"/>
      <c r="I507" s="28" t="str">
        <f>Source!BO234</f>
        <v/>
      </c>
      <c r="J507" s="28"/>
      <c r="K507" s="27"/>
      <c r="L507" s="29"/>
      <c r="S507">
        <f>ROUND((Source!FX234/100)*((ROUND(Source!AF234*Source!I234, 2)+ROUND(Source!AE234*Source!I234, 2))), 2)</f>
        <v>4644.71</v>
      </c>
      <c r="T507">
        <f>Source!X234</f>
        <v>28422.7</v>
      </c>
      <c r="U507">
        <f>ROUND((Source!FY234/100)*((ROUND(Source!AF234*Source!I234, 2)+ROUND(Source!AE234*Source!I234, 2))), 2)</f>
        <v>2844.48</v>
      </c>
      <c r="V507">
        <f>Source!Y234</f>
        <v>17547.93</v>
      </c>
    </row>
    <row r="508" spans="1:26" x14ac:dyDescent="0.2">
      <c r="C508" s="22" t="str">
        <f>"Объем: "&amp;Source!I234&amp;"=140/"&amp;"100"</f>
        <v>Объем: 1,4=140/100</v>
      </c>
    </row>
    <row r="509" spans="1:26" ht="14.25" x14ac:dyDescent="0.2">
      <c r="A509" s="42"/>
      <c r="B509" s="43"/>
      <c r="C509" s="43" t="s">
        <v>1302</v>
      </c>
      <c r="D509" s="26"/>
      <c r="E509" s="10"/>
      <c r="F509" s="27">
        <f>Source!AO234</f>
        <v>1887.18</v>
      </c>
      <c r="G509" s="28" t="str">
        <f>Source!DG234</f>
        <v>)*1,15)*1,2</v>
      </c>
      <c r="H509" s="27">
        <f>ROUND(Source!AF234*Source!I234, 2)</f>
        <v>3646.03</v>
      </c>
      <c r="I509" s="28"/>
      <c r="J509" s="28">
        <f>IF(Source!BA234&lt;&gt; 0, Source!BA234, 1)</f>
        <v>6.13</v>
      </c>
      <c r="K509" s="27">
        <f>Source!S234</f>
        <v>22350.19</v>
      </c>
      <c r="L509" s="29"/>
      <c r="R509">
        <f>H509</f>
        <v>3646.03</v>
      </c>
    </row>
    <row r="510" spans="1:26" ht="14.25" x14ac:dyDescent="0.2">
      <c r="A510" s="42"/>
      <c r="B510" s="43"/>
      <c r="C510" s="43" t="s">
        <v>334</v>
      </c>
      <c r="D510" s="26"/>
      <c r="E510" s="10"/>
      <c r="F510" s="27">
        <f>Source!AM234</f>
        <v>1357.47</v>
      </c>
      <c r="G510" s="28" t="str">
        <f>Source!DE234</f>
        <v>)*1,25)*1,2</v>
      </c>
      <c r="H510" s="27">
        <f>ROUND(Source!AD234*Source!I234, 2)</f>
        <v>2850.69</v>
      </c>
      <c r="I510" s="28"/>
      <c r="J510" s="28">
        <f>IF(Source!BB234&lt;&gt; 0, Source!BB234, 1)</f>
        <v>6.13</v>
      </c>
      <c r="K510" s="27">
        <f>Source!Q234</f>
        <v>17474.75</v>
      </c>
      <c r="L510" s="29"/>
    </row>
    <row r="511" spans="1:26" ht="14.25" x14ac:dyDescent="0.2">
      <c r="A511" s="42"/>
      <c r="B511" s="43"/>
      <c r="C511" s="43" t="s">
        <v>1303</v>
      </c>
      <c r="D511" s="26"/>
      <c r="E511" s="10"/>
      <c r="F511" s="27">
        <f>Source!AN234</f>
        <v>183.73</v>
      </c>
      <c r="G511" s="28" t="str">
        <f>Source!DF234</f>
        <v>)*1,25)*1,2</v>
      </c>
      <c r="H511" s="30">
        <f>ROUND(Source!AE234*Source!I234, 2)</f>
        <v>385.84</v>
      </c>
      <c r="I511" s="28"/>
      <c r="J511" s="28">
        <f>IF(Source!BS234&lt;&gt; 0, Source!BS234, 1)</f>
        <v>6.13</v>
      </c>
      <c r="K511" s="30">
        <f>Source!R234</f>
        <v>2365.1999999999998</v>
      </c>
      <c r="L511" s="29"/>
      <c r="R511">
        <f>H511</f>
        <v>385.84</v>
      </c>
    </row>
    <row r="512" spans="1:26" ht="14.25" x14ac:dyDescent="0.2">
      <c r="A512" s="42"/>
      <c r="B512" s="43"/>
      <c r="C512" s="43" t="s">
        <v>1309</v>
      </c>
      <c r="D512" s="26"/>
      <c r="E512" s="10"/>
      <c r="F512" s="27">
        <f>Source!AL234</f>
        <v>55.88</v>
      </c>
      <c r="G512" s="28" t="str">
        <f>Source!DD234</f>
        <v/>
      </c>
      <c r="H512" s="27">
        <f>ROUND(Source!AC234*Source!I234, 2)</f>
        <v>78.23</v>
      </c>
      <c r="I512" s="28"/>
      <c r="J512" s="28">
        <f>IF(Source!BC234&lt;&gt; 0, Source!BC234, 1)</f>
        <v>6.13</v>
      </c>
      <c r="K512" s="27">
        <f>Source!P234</f>
        <v>479.56</v>
      </c>
      <c r="L512" s="29"/>
    </row>
    <row r="513" spans="1:26" ht="14.25" x14ac:dyDescent="0.2">
      <c r="A513" s="42"/>
      <c r="B513" s="43"/>
      <c r="C513" s="43" t="s">
        <v>1304</v>
      </c>
      <c r="D513" s="26" t="s">
        <v>1305</v>
      </c>
      <c r="E513" s="10">
        <f>Source!BZ234</f>
        <v>128</v>
      </c>
      <c r="F513" s="50" t="str">
        <f>CONCATENATE(" )", Source!DL234, Source!FT234, "=", Source!FX234)</f>
        <v xml:space="preserve"> )*0,9=115,2</v>
      </c>
      <c r="G513" s="62"/>
      <c r="H513" s="27">
        <f>SUM(S507:S520)</f>
        <v>4644.71</v>
      </c>
      <c r="I513" s="31"/>
      <c r="J513" s="25">
        <f>Source!AT234</f>
        <v>115</v>
      </c>
      <c r="K513" s="27">
        <f>SUM(T507:T520)</f>
        <v>28422.7</v>
      </c>
      <c r="L513" s="29"/>
    </row>
    <row r="514" spans="1:26" ht="14.25" x14ac:dyDescent="0.2">
      <c r="A514" s="42"/>
      <c r="B514" s="43"/>
      <c r="C514" s="43" t="s">
        <v>1306</v>
      </c>
      <c r="D514" s="26" t="s">
        <v>1305</v>
      </c>
      <c r="E514" s="10">
        <f>Source!CA234</f>
        <v>83</v>
      </c>
      <c r="F514" s="50" t="str">
        <f>CONCATENATE(" )", Source!DM234, Source!FU234, "=", Source!FY234)</f>
        <v xml:space="preserve"> )*0,85=70,55</v>
      </c>
      <c r="G514" s="62"/>
      <c r="H514" s="27">
        <f>SUM(U507:U520)</f>
        <v>2844.48</v>
      </c>
      <c r="I514" s="31"/>
      <c r="J514" s="25">
        <f>Source!AU234</f>
        <v>71</v>
      </c>
      <c r="K514" s="27">
        <f>SUM(V507:V520)</f>
        <v>17547.93</v>
      </c>
      <c r="L514" s="29"/>
    </row>
    <row r="515" spans="1:26" ht="14.25" x14ac:dyDescent="0.2">
      <c r="A515" s="42"/>
      <c r="B515" s="43"/>
      <c r="C515" s="43" t="s">
        <v>1307</v>
      </c>
      <c r="D515" s="26" t="s">
        <v>1308</v>
      </c>
      <c r="E515" s="10">
        <f>Source!AQ234</f>
        <v>190.24</v>
      </c>
      <c r="F515" s="27"/>
      <c r="G515" s="28" t="str">
        <f>Source!DI234</f>
        <v>)*1,15)*1,2</v>
      </c>
      <c r="H515" s="27"/>
      <c r="I515" s="28"/>
      <c r="J515" s="28"/>
      <c r="K515" s="27"/>
      <c r="L515" s="38">
        <f>Source!U234</f>
        <v>367.54367999999994</v>
      </c>
    </row>
    <row r="516" spans="1:26" ht="28.5" x14ac:dyDescent="0.2">
      <c r="A516" s="42" t="str">
        <f>Source!E235</f>
        <v>46,1</v>
      </c>
      <c r="B516" s="43" t="str">
        <f>Source!F235</f>
        <v>18.1.09.06-0021</v>
      </c>
      <c r="C516" s="43" t="str">
        <f>Source!G235</f>
        <v>Кран шаровой муфтовый 11Б27П1, диаметром 15 мм</v>
      </c>
      <c r="D516" s="26" t="str">
        <f>Source!H235</f>
        <v>шт.</v>
      </c>
      <c r="E516" s="10">
        <f>Source!I235</f>
        <v>5.9999999999999991</v>
      </c>
      <c r="F516" s="27">
        <f>Source!AL235+Source!AM235+Source!AO235</f>
        <v>15.71</v>
      </c>
      <c r="G516" s="39" t="s">
        <v>3</v>
      </c>
      <c r="H516" s="27">
        <f>ROUND(Source!AC235*Source!I235, 2)+ROUND(Source!AD235*Source!I235, 2)+ROUND(Source!AF235*Source!I235, 2)</f>
        <v>94.26</v>
      </c>
      <c r="I516" s="28"/>
      <c r="J516" s="28">
        <f>IF(Source!BC235&lt;&gt; 0, Source!BC235, 1)</f>
        <v>6.13</v>
      </c>
      <c r="K516" s="27">
        <f>Source!O235</f>
        <v>577.80999999999995</v>
      </c>
      <c r="L516" s="29"/>
      <c r="S516">
        <f>ROUND((Source!FX235/100)*((ROUND(Source!AF235*Source!I235, 2)+ROUND(Source!AE235*Source!I235, 2))), 2)</f>
        <v>0</v>
      </c>
      <c r="T516">
        <f>Source!X235</f>
        <v>0</v>
      </c>
      <c r="U516">
        <f>ROUND((Source!FY235/100)*((ROUND(Source!AF235*Source!I235, 2)+ROUND(Source!AE235*Source!I235, 2))), 2)</f>
        <v>0</v>
      </c>
      <c r="V516">
        <f>Source!Y235</f>
        <v>0</v>
      </c>
      <c r="W516">
        <f>IF(Source!BI235&lt;=1,H516, 0)</f>
        <v>94.26</v>
      </c>
      <c r="X516">
        <f>IF(Source!BI235=2,H516, 0)</f>
        <v>0</v>
      </c>
      <c r="Y516">
        <f>IF(Source!BI235=3,H516, 0)</f>
        <v>0</v>
      </c>
      <c r="Z516">
        <f>IF(Source!BI235=4,H516, 0)</f>
        <v>0</v>
      </c>
    </row>
    <row r="517" spans="1:26" ht="28.5" x14ac:dyDescent="0.2">
      <c r="A517" s="42" t="str">
        <f>Source!E236</f>
        <v>46,2</v>
      </c>
      <c r="B517" s="43" t="str">
        <f>Source!F236</f>
        <v>18.1.09.06-0022</v>
      </c>
      <c r="C517" s="43" t="str">
        <f>Source!G236</f>
        <v>Кран шаровой муфтовый 11Б27П1, диаметром 20 мм</v>
      </c>
      <c r="D517" s="26" t="str">
        <f>Source!H236</f>
        <v>шт.</v>
      </c>
      <c r="E517" s="10">
        <f>Source!I236</f>
        <v>5.9999999999999991</v>
      </c>
      <c r="F517" s="27">
        <f>Source!AL236+Source!AM236+Source!AO236</f>
        <v>24.68</v>
      </c>
      <c r="G517" s="39" t="s">
        <v>3</v>
      </c>
      <c r="H517" s="27">
        <f>ROUND(Source!AC236*Source!I236, 2)+ROUND(Source!AD236*Source!I236, 2)+ROUND(Source!AF236*Source!I236, 2)</f>
        <v>148.08000000000001</v>
      </c>
      <c r="I517" s="28"/>
      <c r="J517" s="28">
        <f>IF(Source!BC236&lt;&gt; 0, Source!BC236, 1)</f>
        <v>6.13</v>
      </c>
      <c r="K517" s="27">
        <f>Source!O236</f>
        <v>907.73</v>
      </c>
      <c r="L517" s="29"/>
      <c r="S517">
        <f>ROUND((Source!FX236/100)*((ROUND(Source!AF236*Source!I236, 2)+ROUND(Source!AE236*Source!I236, 2))), 2)</f>
        <v>0</v>
      </c>
      <c r="T517">
        <f>Source!X236</f>
        <v>0</v>
      </c>
      <c r="U517">
        <f>ROUND((Source!FY236/100)*((ROUND(Source!AF236*Source!I236, 2)+ROUND(Source!AE236*Source!I236, 2))), 2)</f>
        <v>0</v>
      </c>
      <c r="V517">
        <f>Source!Y236</f>
        <v>0</v>
      </c>
      <c r="W517">
        <f>IF(Source!BI236&lt;=1,H517, 0)</f>
        <v>148.08000000000001</v>
      </c>
      <c r="X517">
        <f>IF(Source!BI236=2,H517, 0)</f>
        <v>0</v>
      </c>
      <c r="Y517">
        <f>IF(Source!BI236=3,H517, 0)</f>
        <v>0</v>
      </c>
      <c r="Z517">
        <f>IF(Source!BI236=4,H517, 0)</f>
        <v>0</v>
      </c>
    </row>
    <row r="518" spans="1:26" ht="85.5" x14ac:dyDescent="0.2">
      <c r="A518" s="42" t="str">
        <f>Source!E237</f>
        <v>46,3</v>
      </c>
      <c r="B518" s="43" t="str">
        <f>Source!F237</f>
        <v>24.3.02.01-0001</v>
      </c>
      <c r="C518" s="43" t="str">
        <f>Source!G237</f>
        <v>Трубопроводы напорные из полипропилена PPRS с гильзами и креплениями для холодного и горячего водоснабжения PN10 SDR 11, диаметром 16 мм, толщина стенки 1,8 мм</v>
      </c>
      <c r="D518" s="26" t="str">
        <f>Source!H237</f>
        <v>м</v>
      </c>
      <c r="E518" s="10">
        <f>Source!I237</f>
        <v>100</v>
      </c>
      <c r="F518" s="27">
        <f>Source!AL237+Source!AM237+Source!AO237</f>
        <v>3.49</v>
      </c>
      <c r="G518" s="39" t="s">
        <v>3</v>
      </c>
      <c r="H518" s="27">
        <f>ROUND(Source!AC237*Source!I237, 2)+ROUND(Source!AD237*Source!I237, 2)+ROUND(Source!AF237*Source!I237, 2)</f>
        <v>349</v>
      </c>
      <c r="I518" s="28"/>
      <c r="J518" s="28">
        <f>IF(Source!BC237&lt;&gt; 0, Source!BC237, 1)</f>
        <v>6.13</v>
      </c>
      <c r="K518" s="27">
        <f>Source!O237</f>
        <v>2139.37</v>
      </c>
      <c r="L518" s="29"/>
      <c r="S518">
        <f>ROUND((Source!FX237/100)*((ROUND(Source!AF237*Source!I237, 2)+ROUND(Source!AE237*Source!I237, 2))), 2)</f>
        <v>0</v>
      </c>
      <c r="T518">
        <f>Source!X237</f>
        <v>0</v>
      </c>
      <c r="U518">
        <f>ROUND((Source!FY237/100)*((ROUND(Source!AF237*Source!I237, 2)+ROUND(Source!AE237*Source!I237, 2))), 2)</f>
        <v>0</v>
      </c>
      <c r="V518">
        <f>Source!Y237</f>
        <v>0</v>
      </c>
      <c r="W518">
        <f>IF(Source!BI237&lt;=1,H518, 0)</f>
        <v>349</v>
      </c>
      <c r="X518">
        <f>IF(Source!BI237=2,H518, 0)</f>
        <v>0</v>
      </c>
      <c r="Y518">
        <f>IF(Source!BI237=3,H518, 0)</f>
        <v>0</v>
      </c>
      <c r="Z518">
        <f>IF(Source!BI237=4,H518, 0)</f>
        <v>0</v>
      </c>
    </row>
    <row r="519" spans="1:26" ht="85.5" x14ac:dyDescent="0.2">
      <c r="A519" s="42" t="str">
        <f>Source!E238</f>
        <v>46,4</v>
      </c>
      <c r="B519" s="43" t="str">
        <f>Source!F238</f>
        <v>24.3.02.01-0002</v>
      </c>
      <c r="C519" s="43" t="str">
        <f>Source!G238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519" s="26" t="str">
        <f>Source!H238</f>
        <v>м</v>
      </c>
      <c r="E519" s="10">
        <f>Source!I238</f>
        <v>40</v>
      </c>
      <c r="F519" s="27">
        <f>Source!AL238+Source!AM238+Source!AO238</f>
        <v>4.5999999999999996</v>
      </c>
      <c r="G519" s="39" t="s">
        <v>3</v>
      </c>
      <c r="H519" s="27">
        <f>ROUND(Source!AC238*Source!I238, 2)+ROUND(Source!AD238*Source!I238, 2)+ROUND(Source!AF238*Source!I238, 2)</f>
        <v>184</v>
      </c>
      <c r="I519" s="28"/>
      <c r="J519" s="28">
        <f>IF(Source!BC238&lt;&gt; 0, Source!BC238, 1)</f>
        <v>6.13</v>
      </c>
      <c r="K519" s="27">
        <f>Source!O238</f>
        <v>1127.92</v>
      </c>
      <c r="L519" s="29"/>
      <c r="S519">
        <f>ROUND((Source!FX238/100)*((ROUND(Source!AF238*Source!I238, 2)+ROUND(Source!AE238*Source!I238, 2))), 2)</f>
        <v>0</v>
      </c>
      <c r="T519">
        <f>Source!X238</f>
        <v>0</v>
      </c>
      <c r="U519">
        <f>ROUND((Source!FY238/100)*((ROUND(Source!AF238*Source!I238, 2)+ROUND(Source!AE238*Source!I238, 2))), 2)</f>
        <v>0</v>
      </c>
      <c r="V519">
        <f>Source!Y238</f>
        <v>0</v>
      </c>
      <c r="W519">
        <f>IF(Source!BI238&lt;=1,H519, 0)</f>
        <v>184</v>
      </c>
      <c r="X519">
        <f>IF(Source!BI238=2,H519, 0)</f>
        <v>0</v>
      </c>
      <c r="Y519">
        <f>IF(Source!BI238=3,H519, 0)</f>
        <v>0</v>
      </c>
      <c r="Z519">
        <f>IF(Source!BI238=4,H519, 0)</f>
        <v>0</v>
      </c>
    </row>
    <row r="520" spans="1:26" ht="14.25" x14ac:dyDescent="0.2">
      <c r="A520" s="44" t="str">
        <f>Source!E239</f>
        <v>46,5</v>
      </c>
      <c r="B520" s="45" t="str">
        <f>Source!F239</f>
        <v>24.3.03.15</v>
      </c>
      <c r="C520" s="45" t="str">
        <f>Source!G239</f>
        <v>Трубы полиэтиленовые</v>
      </c>
      <c r="D520" s="32" t="str">
        <f>Source!H239</f>
        <v>м</v>
      </c>
      <c r="E520" s="33">
        <f>Source!I239</f>
        <v>140</v>
      </c>
      <c r="F520" s="34">
        <f>Source!AL239+Source!AM239+Source!AO239</f>
        <v>0</v>
      </c>
      <c r="G520" s="40" t="s">
        <v>3</v>
      </c>
      <c r="H520" s="34">
        <f>ROUND(Source!AC239*Source!I239, 2)+ROUND(Source!AD239*Source!I239, 2)+ROUND(Source!AF239*Source!I239, 2)</f>
        <v>0</v>
      </c>
      <c r="I520" s="35"/>
      <c r="J520" s="35">
        <f>IF(Source!BC239&lt;&gt; 0, Source!BC239, 1)</f>
        <v>6.13</v>
      </c>
      <c r="K520" s="34">
        <f>Source!O239</f>
        <v>0</v>
      </c>
      <c r="L520" s="41"/>
      <c r="S520">
        <f>ROUND((Source!FX239/100)*((ROUND(Source!AF239*Source!I239, 2)+ROUND(Source!AE239*Source!I239, 2))), 2)</f>
        <v>0</v>
      </c>
      <c r="T520">
        <f>Source!X239</f>
        <v>0</v>
      </c>
      <c r="U520">
        <f>ROUND((Source!FY239/100)*((ROUND(Source!AF239*Source!I239, 2)+ROUND(Source!AE239*Source!I239, 2))), 2)</f>
        <v>0</v>
      </c>
      <c r="V520">
        <f>Source!Y239</f>
        <v>0</v>
      </c>
      <c r="W520">
        <f>IF(Source!BI239&lt;=1,H520, 0)</f>
        <v>0</v>
      </c>
      <c r="X520">
        <f>IF(Source!BI239=2,H520, 0)</f>
        <v>0</v>
      </c>
      <c r="Y520">
        <f>IF(Source!BI239=3,H520, 0)</f>
        <v>0</v>
      </c>
      <c r="Z520">
        <f>IF(Source!BI239=4,H520, 0)</f>
        <v>0</v>
      </c>
    </row>
    <row r="521" spans="1:26" ht="15" x14ac:dyDescent="0.25">
      <c r="G521" s="61">
        <f>H509+H510+H512+H513+H514+SUM(H516:H520)</f>
        <v>14839.48</v>
      </c>
      <c r="H521" s="61"/>
      <c r="J521" s="61">
        <f>K509+K510+K512+K513+K514+SUM(K516:K520)</f>
        <v>91027.96</v>
      </c>
      <c r="K521" s="61"/>
      <c r="L521" s="37">
        <f>Source!U234</f>
        <v>367.54367999999994</v>
      </c>
      <c r="O521" s="23">
        <f>G521</f>
        <v>14839.48</v>
      </c>
      <c r="P521" s="23">
        <f>J521</f>
        <v>91027.96</v>
      </c>
      <c r="Q521" s="23">
        <f>L521</f>
        <v>367.54367999999994</v>
      </c>
      <c r="W521">
        <f>IF(Source!BI234&lt;=1,H509+H510+H512+H513+H514, 0)</f>
        <v>14064.14</v>
      </c>
      <c r="X521">
        <f>IF(Source!BI234=2,H509+H510+H512+H513+H514, 0)</f>
        <v>0</v>
      </c>
      <c r="Y521">
        <f>IF(Source!BI234=3,H509+H510+H512+H513+H514, 0)</f>
        <v>0</v>
      </c>
      <c r="Z521">
        <f>IF(Source!BI234=4,H509+H510+H512+H513+H514, 0)</f>
        <v>0</v>
      </c>
    </row>
    <row r="522" spans="1:26" ht="57" x14ac:dyDescent="0.2">
      <c r="A522" s="42" t="str">
        <f>Source!E240</f>
        <v>47</v>
      </c>
      <c r="B522" s="43" t="str">
        <f>Source!F240</f>
        <v>18-06-001-01</v>
      </c>
      <c r="C522" s="43" t="str">
        <f>Source!G240</f>
        <v>Установка гребенок водораспределительных из стальных труб наружным диаметром корпуса до 108 мм</v>
      </c>
      <c r="D522" s="26" t="str">
        <f>Source!H240</f>
        <v>ШТ</v>
      </c>
      <c r="E522" s="10">
        <f>Source!I240</f>
        <v>2</v>
      </c>
      <c r="F522" s="27">
        <f>Source!AL240+Source!AM240+Source!AO240</f>
        <v>82.32</v>
      </c>
      <c r="G522" s="28"/>
      <c r="H522" s="27"/>
      <c r="I522" s="28" t="str">
        <f>Source!BO240</f>
        <v/>
      </c>
      <c r="J522" s="28"/>
      <c r="K522" s="27"/>
      <c r="L522" s="29"/>
      <c r="S522">
        <f>ROUND((Source!FX240/100)*((ROUND(Source!AF240*Source!I240, 2)+ROUND(Source!AE240*Source!I240, 2))), 2)</f>
        <v>230.52</v>
      </c>
      <c r="T522">
        <f>Source!X240</f>
        <v>1410.61</v>
      </c>
      <c r="U522">
        <f>ROUND((Source!FY240/100)*((ROUND(Source!AF240*Source!I240, 2)+ROUND(Source!AE240*Source!I240, 2))), 2)</f>
        <v>141.16999999999999</v>
      </c>
      <c r="V522">
        <f>Source!Y240</f>
        <v>870.9</v>
      </c>
    </row>
    <row r="523" spans="1:26" ht="14.25" x14ac:dyDescent="0.2">
      <c r="A523" s="42"/>
      <c r="B523" s="43"/>
      <c r="C523" s="43" t="s">
        <v>1302</v>
      </c>
      <c r="D523" s="26"/>
      <c r="E523" s="10"/>
      <c r="F523" s="27">
        <f>Source!AO240</f>
        <v>71.959999999999994</v>
      </c>
      <c r="G523" s="28" t="str">
        <f>Source!DG240</f>
        <v>)*1,15)*1,2</v>
      </c>
      <c r="H523" s="27">
        <f>ROUND(Source!AF240*Source!I240, 2)</f>
        <v>198.6</v>
      </c>
      <c r="I523" s="28"/>
      <c r="J523" s="28">
        <f>IF(Source!BA240&lt;&gt; 0, Source!BA240, 1)</f>
        <v>6.13</v>
      </c>
      <c r="K523" s="27">
        <f>Source!S240</f>
        <v>1217.42</v>
      </c>
      <c r="L523" s="29"/>
      <c r="R523">
        <f>H523</f>
        <v>198.6</v>
      </c>
    </row>
    <row r="524" spans="1:26" ht="14.25" x14ac:dyDescent="0.2">
      <c r="A524" s="42"/>
      <c r="B524" s="43"/>
      <c r="C524" s="43" t="s">
        <v>334</v>
      </c>
      <c r="D524" s="26"/>
      <c r="E524" s="10"/>
      <c r="F524" s="27">
        <f>Source!AM240</f>
        <v>6.06</v>
      </c>
      <c r="G524" s="28" t="str">
        <f>Source!DE240</f>
        <v>)*1,25)*1,2</v>
      </c>
      <c r="H524" s="27">
        <f>ROUND(Source!AD240*Source!I240, 2)</f>
        <v>18.18</v>
      </c>
      <c r="I524" s="28"/>
      <c r="J524" s="28">
        <f>IF(Source!BB240&lt;&gt; 0, Source!BB240, 1)</f>
        <v>6.13</v>
      </c>
      <c r="K524" s="27">
        <f>Source!Q240</f>
        <v>111.44</v>
      </c>
      <c r="L524" s="29"/>
    </row>
    <row r="525" spans="1:26" ht="14.25" x14ac:dyDescent="0.2">
      <c r="A525" s="42"/>
      <c r="B525" s="43"/>
      <c r="C525" s="43" t="s">
        <v>1303</v>
      </c>
      <c r="D525" s="26"/>
      <c r="E525" s="10"/>
      <c r="F525" s="27">
        <f>Source!AN240</f>
        <v>0.5</v>
      </c>
      <c r="G525" s="28" t="str">
        <f>Source!DF240</f>
        <v>)*1,25)*1,2</v>
      </c>
      <c r="H525" s="30">
        <f>ROUND(Source!AE240*Source!I240, 2)</f>
        <v>1.5</v>
      </c>
      <c r="I525" s="28"/>
      <c r="J525" s="28">
        <f>IF(Source!BS240&lt;&gt; 0, Source!BS240, 1)</f>
        <v>6.13</v>
      </c>
      <c r="K525" s="30">
        <f>Source!R240</f>
        <v>9.1999999999999993</v>
      </c>
      <c r="L525" s="29"/>
      <c r="R525">
        <f>H525</f>
        <v>1.5</v>
      </c>
    </row>
    <row r="526" spans="1:26" ht="14.25" x14ac:dyDescent="0.2">
      <c r="A526" s="42"/>
      <c r="B526" s="43"/>
      <c r="C526" s="43" t="s">
        <v>1309</v>
      </c>
      <c r="D526" s="26"/>
      <c r="E526" s="10"/>
      <c r="F526" s="27">
        <f>Source!AL240</f>
        <v>4.3</v>
      </c>
      <c r="G526" s="28" t="str">
        <f>Source!DD240</f>
        <v/>
      </c>
      <c r="H526" s="27">
        <f>ROUND(Source!AC240*Source!I240, 2)</f>
        <v>8.6</v>
      </c>
      <c r="I526" s="28"/>
      <c r="J526" s="28">
        <f>IF(Source!BC240&lt;&gt; 0, Source!BC240, 1)</f>
        <v>6.13</v>
      </c>
      <c r="K526" s="27">
        <f>Source!P240</f>
        <v>52.72</v>
      </c>
      <c r="L526" s="29"/>
    </row>
    <row r="527" spans="1:26" ht="14.25" x14ac:dyDescent="0.2">
      <c r="A527" s="42"/>
      <c r="B527" s="43"/>
      <c r="C527" s="43" t="s">
        <v>1304</v>
      </c>
      <c r="D527" s="26" t="s">
        <v>1305</v>
      </c>
      <c r="E527" s="10">
        <f>Source!BZ240</f>
        <v>128</v>
      </c>
      <c r="F527" s="50" t="str">
        <f>CONCATENATE(" )", Source!DL240, Source!FT240, "=", Source!FX240)</f>
        <v xml:space="preserve"> )*0,9=115,2</v>
      </c>
      <c r="G527" s="62"/>
      <c r="H527" s="27">
        <f>SUM(S522:S530)</f>
        <v>230.52</v>
      </c>
      <c r="I527" s="31"/>
      <c r="J527" s="25">
        <f>Source!AT240</f>
        <v>115</v>
      </c>
      <c r="K527" s="27">
        <f>SUM(T522:T530)</f>
        <v>1410.61</v>
      </c>
      <c r="L527" s="29"/>
    </row>
    <row r="528" spans="1:26" ht="14.25" x14ac:dyDescent="0.2">
      <c r="A528" s="42"/>
      <c r="B528" s="43"/>
      <c r="C528" s="43" t="s">
        <v>1306</v>
      </c>
      <c r="D528" s="26" t="s">
        <v>1305</v>
      </c>
      <c r="E528" s="10">
        <f>Source!CA240</f>
        <v>83</v>
      </c>
      <c r="F528" s="50" t="str">
        <f>CONCATENATE(" )", Source!DM240, Source!FU240, "=", Source!FY240)</f>
        <v xml:space="preserve"> )*0,85=70,55</v>
      </c>
      <c r="G528" s="62"/>
      <c r="H528" s="27">
        <f>SUM(U522:U530)</f>
        <v>141.16999999999999</v>
      </c>
      <c r="I528" s="31"/>
      <c r="J528" s="25">
        <f>Source!AU240</f>
        <v>71</v>
      </c>
      <c r="K528" s="27">
        <f>SUM(V522:V530)</f>
        <v>870.9</v>
      </c>
      <c r="L528" s="29"/>
    </row>
    <row r="529" spans="1:26" ht="14.25" x14ac:dyDescent="0.2">
      <c r="A529" s="42"/>
      <c r="B529" s="43"/>
      <c r="C529" s="43" t="s">
        <v>1307</v>
      </c>
      <c r="D529" s="26" t="s">
        <v>1308</v>
      </c>
      <c r="E529" s="10">
        <f>Source!AQ240</f>
        <v>7.48</v>
      </c>
      <c r="F529" s="27"/>
      <c r="G529" s="28" t="str">
        <f>Source!DI240</f>
        <v>)*1,15)*1,2</v>
      </c>
      <c r="H529" s="27"/>
      <c r="I529" s="28"/>
      <c r="J529" s="28"/>
      <c r="K529" s="27"/>
      <c r="L529" s="38">
        <f>Source!U240</f>
        <v>20.6448</v>
      </c>
    </row>
    <row r="530" spans="1:26" ht="28.5" x14ac:dyDescent="0.2">
      <c r="A530" s="44" t="str">
        <f>Source!E241</f>
        <v>47,1</v>
      </c>
      <c r="B530" s="45" t="str">
        <f>Source!F241</f>
        <v>23.8.04.02-0009</v>
      </c>
      <c r="C530" s="45" t="str">
        <f>Source!G241</f>
        <v>Коллектор проходной с внутренней резьбой 1 1/4"х1/2" на 4 выхода прим.</v>
      </c>
      <c r="D530" s="32" t="str">
        <f>Source!H241</f>
        <v>шт.</v>
      </c>
      <c r="E530" s="33">
        <f>Source!I241</f>
        <v>2</v>
      </c>
      <c r="F530" s="34">
        <f>Source!AL241+Source!AM241+Source!AO241</f>
        <v>101.58</v>
      </c>
      <c r="G530" s="40" t="s">
        <v>3</v>
      </c>
      <c r="H530" s="34">
        <f>ROUND(Source!AC241*Source!I241, 2)+ROUND(Source!AD241*Source!I241, 2)+ROUND(Source!AF241*Source!I241, 2)</f>
        <v>203.16</v>
      </c>
      <c r="I530" s="35"/>
      <c r="J530" s="35">
        <f>IF(Source!BC241&lt;&gt; 0, Source!BC241, 1)</f>
        <v>6.13</v>
      </c>
      <c r="K530" s="34">
        <f>Source!O241</f>
        <v>1245.3699999999999</v>
      </c>
      <c r="L530" s="41"/>
      <c r="S530">
        <f>ROUND((Source!FX241/100)*((ROUND(Source!AF241*Source!I241, 2)+ROUND(Source!AE241*Source!I241, 2))), 2)</f>
        <v>0</v>
      </c>
      <c r="T530">
        <f>Source!X241</f>
        <v>0</v>
      </c>
      <c r="U530">
        <f>ROUND((Source!FY241/100)*((ROUND(Source!AF241*Source!I241, 2)+ROUND(Source!AE241*Source!I241, 2))), 2)</f>
        <v>0</v>
      </c>
      <c r="V530">
        <f>Source!Y241</f>
        <v>0</v>
      </c>
      <c r="W530">
        <f>IF(Source!BI241&lt;=1,H530, 0)</f>
        <v>203.16</v>
      </c>
      <c r="X530">
        <f>IF(Source!BI241=2,H530, 0)</f>
        <v>0</v>
      </c>
      <c r="Y530">
        <f>IF(Source!BI241=3,H530, 0)</f>
        <v>0</v>
      </c>
      <c r="Z530">
        <f>IF(Source!BI241=4,H530, 0)</f>
        <v>0</v>
      </c>
    </row>
    <row r="531" spans="1:26" ht="15" x14ac:dyDescent="0.25">
      <c r="G531" s="61">
        <f>H523+H524+H526+H527+H528+SUM(H530:H530)</f>
        <v>800.2299999999999</v>
      </c>
      <c r="H531" s="61"/>
      <c r="J531" s="61">
        <f>K523+K524+K526+K527+K528+SUM(K530:K530)</f>
        <v>4908.46</v>
      </c>
      <c r="K531" s="61"/>
      <c r="L531" s="37">
        <f>Source!U240</f>
        <v>20.6448</v>
      </c>
      <c r="O531" s="23">
        <f>G531</f>
        <v>800.2299999999999</v>
      </c>
      <c r="P531" s="23">
        <f>J531</f>
        <v>4908.46</v>
      </c>
      <c r="Q531" s="23">
        <f>L531</f>
        <v>20.6448</v>
      </c>
      <c r="W531">
        <f>IF(Source!BI240&lt;=1,H523+H524+H526+H527+H528, 0)</f>
        <v>597.06999999999994</v>
      </c>
      <c r="X531">
        <f>IF(Source!BI240=2,H523+H524+H526+H527+H528, 0)</f>
        <v>0</v>
      </c>
      <c r="Y531">
        <f>IF(Source!BI240=3,H523+H524+H526+H527+H528, 0)</f>
        <v>0</v>
      </c>
      <c r="Z531">
        <f>IF(Source!BI240=4,H523+H524+H526+H527+H528, 0)</f>
        <v>0</v>
      </c>
    </row>
    <row r="532" spans="1:26" ht="14.25" x14ac:dyDescent="0.2">
      <c r="A532" s="42" t="str">
        <f>Source!E242</f>
        <v>48</v>
      </c>
      <c r="B532" s="43" t="str">
        <f>Source!F242</f>
        <v>18-06-007-01</v>
      </c>
      <c r="C532" s="43" t="str">
        <f>Source!G242</f>
        <v>Установка фильтров диаметром 25 мм</v>
      </c>
      <c r="D532" s="26" t="str">
        <f>Source!H242</f>
        <v>10 ШТ</v>
      </c>
      <c r="E532" s="10">
        <f>Source!I242</f>
        <v>0.1</v>
      </c>
      <c r="F532" s="27">
        <f>Source!AL242+Source!AM242+Source!AO242</f>
        <v>130.78</v>
      </c>
      <c r="G532" s="28"/>
      <c r="H532" s="27"/>
      <c r="I532" s="28" t="str">
        <f>Source!BO242</f>
        <v/>
      </c>
      <c r="J532" s="28"/>
      <c r="K532" s="27"/>
      <c r="L532" s="29"/>
      <c r="S532">
        <f>ROUND((Source!FX242/100)*((ROUND(Source!AF242*Source!I242, 2)+ROUND(Source!AE242*Source!I242, 2))), 2)</f>
        <v>12.95</v>
      </c>
      <c r="T532">
        <f>Source!X242</f>
        <v>79.25</v>
      </c>
      <c r="U532">
        <f>ROUND((Source!FY242/100)*((ROUND(Source!AF242*Source!I242, 2)+ROUND(Source!AE242*Source!I242, 2))), 2)</f>
        <v>7.93</v>
      </c>
      <c r="V532">
        <f>Source!Y242</f>
        <v>48.93</v>
      </c>
    </row>
    <row r="533" spans="1:26" x14ac:dyDescent="0.2">
      <c r="C533" s="22" t="str">
        <f>"Объем: "&amp;Source!I242&amp;"=1/"&amp;"10"</f>
        <v>Объем: 0,1=1/10</v>
      </c>
    </row>
    <row r="534" spans="1:26" ht="14.25" x14ac:dyDescent="0.2">
      <c r="A534" s="42"/>
      <c r="B534" s="43"/>
      <c r="C534" s="43" t="s">
        <v>1302</v>
      </c>
      <c r="D534" s="26"/>
      <c r="E534" s="10"/>
      <c r="F534" s="27">
        <f>Source!AO242</f>
        <v>76.89</v>
      </c>
      <c r="G534" s="28" t="str">
        <f>Source!DG242</f>
        <v>)*1,15)*1,2</v>
      </c>
      <c r="H534" s="27">
        <f>ROUND(Source!AF242*Source!I242, 2)</f>
        <v>10.61</v>
      </c>
      <c r="I534" s="28"/>
      <c r="J534" s="28">
        <f>IF(Source!BA242&lt;&gt; 0, Source!BA242, 1)</f>
        <v>6.13</v>
      </c>
      <c r="K534" s="27">
        <f>Source!S242</f>
        <v>65.05</v>
      </c>
      <c r="L534" s="29"/>
      <c r="R534">
        <f>H534</f>
        <v>10.61</v>
      </c>
    </row>
    <row r="535" spans="1:26" ht="14.25" x14ac:dyDescent="0.2">
      <c r="A535" s="42"/>
      <c r="B535" s="43"/>
      <c r="C535" s="43" t="s">
        <v>334</v>
      </c>
      <c r="D535" s="26"/>
      <c r="E535" s="10"/>
      <c r="F535" s="27">
        <f>Source!AM242</f>
        <v>46.64</v>
      </c>
      <c r="G535" s="28" t="str">
        <f>Source!DE242</f>
        <v>)*1,25)*1,2</v>
      </c>
      <c r="H535" s="27">
        <f>ROUND(Source!AD242*Source!I242, 2)</f>
        <v>7</v>
      </c>
      <c r="I535" s="28"/>
      <c r="J535" s="28">
        <f>IF(Source!BB242&lt;&gt; 0, Source!BB242, 1)</f>
        <v>6.13</v>
      </c>
      <c r="K535" s="27">
        <f>Source!Q242</f>
        <v>42.89</v>
      </c>
      <c r="L535" s="29"/>
    </row>
    <row r="536" spans="1:26" ht="14.25" x14ac:dyDescent="0.2">
      <c r="A536" s="42"/>
      <c r="B536" s="43"/>
      <c r="C536" s="43" t="s">
        <v>1303</v>
      </c>
      <c r="D536" s="26"/>
      <c r="E536" s="10"/>
      <c r="F536" s="27">
        <f>Source!AN242</f>
        <v>4.2</v>
      </c>
      <c r="G536" s="28" t="str">
        <f>Source!DF242</f>
        <v>)*1,25)*1,2</v>
      </c>
      <c r="H536" s="30">
        <f>ROUND(Source!AE242*Source!I242, 2)</f>
        <v>0.63</v>
      </c>
      <c r="I536" s="28"/>
      <c r="J536" s="28">
        <f>IF(Source!BS242&lt;&gt; 0, Source!BS242, 1)</f>
        <v>6.13</v>
      </c>
      <c r="K536" s="30">
        <f>Source!R242</f>
        <v>3.86</v>
      </c>
      <c r="L536" s="29"/>
      <c r="R536">
        <f>H536</f>
        <v>0.63</v>
      </c>
    </row>
    <row r="537" spans="1:26" ht="14.25" x14ac:dyDescent="0.2">
      <c r="A537" s="42"/>
      <c r="B537" s="43"/>
      <c r="C537" s="43" t="s">
        <v>1309</v>
      </c>
      <c r="D537" s="26"/>
      <c r="E537" s="10"/>
      <c r="F537" s="27">
        <f>Source!AL242</f>
        <v>7.25</v>
      </c>
      <c r="G537" s="28" t="str">
        <f>Source!DD242</f>
        <v/>
      </c>
      <c r="H537" s="27">
        <f>ROUND(Source!AC242*Source!I242, 2)</f>
        <v>0.73</v>
      </c>
      <c r="I537" s="28"/>
      <c r="J537" s="28">
        <f>IF(Source!BC242&lt;&gt; 0, Source!BC242, 1)</f>
        <v>6.13</v>
      </c>
      <c r="K537" s="27">
        <f>Source!P242</f>
        <v>4.4400000000000004</v>
      </c>
      <c r="L537" s="29"/>
    </row>
    <row r="538" spans="1:26" ht="14.25" x14ac:dyDescent="0.2">
      <c r="A538" s="42"/>
      <c r="B538" s="43"/>
      <c r="C538" s="43" t="s">
        <v>1304</v>
      </c>
      <c r="D538" s="26" t="s">
        <v>1305</v>
      </c>
      <c r="E538" s="10">
        <f>Source!BZ242</f>
        <v>128</v>
      </c>
      <c r="F538" s="50" t="str">
        <f>CONCATENATE(" )", Source!DL242, Source!FT242, "=", Source!FX242)</f>
        <v xml:space="preserve"> )*0,9=115,2</v>
      </c>
      <c r="G538" s="62"/>
      <c r="H538" s="27">
        <f>SUM(S532:S542)</f>
        <v>12.95</v>
      </c>
      <c r="I538" s="31"/>
      <c r="J538" s="25">
        <f>Source!AT242</f>
        <v>115</v>
      </c>
      <c r="K538" s="27">
        <f>SUM(T532:T542)</f>
        <v>79.25</v>
      </c>
      <c r="L538" s="29"/>
    </row>
    <row r="539" spans="1:26" ht="14.25" x14ac:dyDescent="0.2">
      <c r="A539" s="42"/>
      <c r="B539" s="43"/>
      <c r="C539" s="43" t="s">
        <v>1306</v>
      </c>
      <c r="D539" s="26" t="s">
        <v>1305</v>
      </c>
      <c r="E539" s="10">
        <f>Source!CA242</f>
        <v>83</v>
      </c>
      <c r="F539" s="50" t="str">
        <f>CONCATENATE(" )", Source!DM242, Source!FU242, "=", Source!FY242)</f>
        <v xml:space="preserve"> )*0,85=70,55</v>
      </c>
      <c r="G539" s="62"/>
      <c r="H539" s="27">
        <f>SUM(U532:U542)</f>
        <v>7.93</v>
      </c>
      <c r="I539" s="31"/>
      <c r="J539" s="25">
        <f>Source!AU242</f>
        <v>71</v>
      </c>
      <c r="K539" s="27">
        <f>SUM(V532:V542)</f>
        <v>48.93</v>
      </c>
      <c r="L539" s="29"/>
    </row>
    <row r="540" spans="1:26" ht="14.25" x14ac:dyDescent="0.2">
      <c r="A540" s="42"/>
      <c r="B540" s="43"/>
      <c r="C540" s="43" t="s">
        <v>1307</v>
      </c>
      <c r="D540" s="26" t="s">
        <v>1308</v>
      </c>
      <c r="E540" s="10">
        <f>Source!AQ242</f>
        <v>8.18</v>
      </c>
      <c r="F540" s="27"/>
      <c r="G540" s="28" t="str">
        <f>Source!DI242</f>
        <v>)*1,15)*1,2</v>
      </c>
      <c r="H540" s="27"/>
      <c r="I540" s="28"/>
      <c r="J540" s="28"/>
      <c r="K540" s="27"/>
      <c r="L540" s="38">
        <f>Source!U242</f>
        <v>1.1288399999999998</v>
      </c>
    </row>
    <row r="541" spans="1:26" ht="14.25" x14ac:dyDescent="0.2">
      <c r="A541" s="42" t="str">
        <f>Source!E243</f>
        <v>48,1</v>
      </c>
      <c r="B541" s="43" t="str">
        <f>Source!F243</f>
        <v>18.2.08.05-0002</v>
      </c>
      <c r="C541" s="43" t="str">
        <f>Source!G243</f>
        <v>Фильтр магнитный муфтовый ФММ-25</v>
      </c>
      <c r="D541" s="26" t="str">
        <f>Source!H243</f>
        <v>шт.</v>
      </c>
      <c r="E541" s="10">
        <f>Source!I243</f>
        <v>1</v>
      </c>
      <c r="F541" s="27">
        <f>Source!AL243+Source!AM243+Source!AO243</f>
        <v>323.13</v>
      </c>
      <c r="G541" s="39" t="s">
        <v>3</v>
      </c>
      <c r="H541" s="27">
        <f>ROUND(Source!AC243*Source!I243, 2)+ROUND(Source!AD243*Source!I243, 2)+ROUND(Source!AF243*Source!I243, 2)</f>
        <v>323.13</v>
      </c>
      <c r="I541" s="28"/>
      <c r="J541" s="28">
        <f>IF(Source!BC243&lt;&gt; 0, Source!BC243, 1)</f>
        <v>6.13</v>
      </c>
      <c r="K541" s="27">
        <f>Source!O243</f>
        <v>1980.79</v>
      </c>
      <c r="L541" s="29"/>
      <c r="S541">
        <f>ROUND((Source!FX243/100)*((ROUND(Source!AF243*Source!I243, 2)+ROUND(Source!AE243*Source!I243, 2))), 2)</f>
        <v>0</v>
      </c>
      <c r="T541">
        <f>Source!X243</f>
        <v>0</v>
      </c>
      <c r="U541">
        <f>ROUND((Source!FY243/100)*((ROUND(Source!AF243*Source!I243, 2)+ROUND(Source!AE243*Source!I243, 2))), 2)</f>
        <v>0</v>
      </c>
      <c r="V541">
        <f>Source!Y243</f>
        <v>0</v>
      </c>
      <c r="W541">
        <f>IF(Source!BI243&lt;=1,H541, 0)</f>
        <v>323.13</v>
      </c>
      <c r="X541">
        <f>IF(Source!BI243=2,H541, 0)</f>
        <v>0</v>
      </c>
      <c r="Y541">
        <f>IF(Source!BI243=3,H541, 0)</f>
        <v>0</v>
      </c>
      <c r="Z541">
        <f>IF(Source!BI243=4,H541, 0)</f>
        <v>0</v>
      </c>
    </row>
    <row r="542" spans="1:26" ht="14.25" x14ac:dyDescent="0.2">
      <c r="A542" s="44" t="str">
        <f>Source!E244</f>
        <v>48,2</v>
      </c>
      <c r="B542" s="45" t="str">
        <f>Source!F244</f>
        <v>18.2.08.10</v>
      </c>
      <c r="C542" s="45" t="str">
        <f>Source!G244</f>
        <v>Фильтры для очистки воды</v>
      </c>
      <c r="D542" s="32" t="str">
        <f>Source!H244</f>
        <v>шт.</v>
      </c>
      <c r="E542" s="33">
        <f>Source!I244</f>
        <v>1</v>
      </c>
      <c r="F542" s="34">
        <f>Source!AL244+Source!AM244+Source!AO244</f>
        <v>0</v>
      </c>
      <c r="G542" s="40" t="s">
        <v>3</v>
      </c>
      <c r="H542" s="34">
        <f>ROUND(Source!AC244*Source!I244, 2)+ROUND(Source!AD244*Source!I244, 2)+ROUND(Source!AF244*Source!I244, 2)</f>
        <v>0</v>
      </c>
      <c r="I542" s="35"/>
      <c r="J542" s="35">
        <f>IF(Source!BC244&lt;&gt; 0, Source!BC244, 1)</f>
        <v>6.13</v>
      </c>
      <c r="K542" s="34">
        <f>Source!O244</f>
        <v>0</v>
      </c>
      <c r="L542" s="41"/>
      <c r="S542">
        <f>ROUND((Source!FX244/100)*((ROUND(Source!AF244*Source!I244, 2)+ROUND(Source!AE244*Source!I244, 2))), 2)</f>
        <v>0</v>
      </c>
      <c r="T542">
        <f>Source!X244</f>
        <v>0</v>
      </c>
      <c r="U542">
        <f>ROUND((Source!FY244/100)*((ROUND(Source!AF244*Source!I244, 2)+ROUND(Source!AE244*Source!I244, 2))), 2)</f>
        <v>0</v>
      </c>
      <c r="V542">
        <f>Source!Y244</f>
        <v>0</v>
      </c>
      <c r="W542">
        <f>IF(Source!BI244&lt;=1,H542, 0)</f>
        <v>0</v>
      </c>
      <c r="X542">
        <f>IF(Source!BI244=2,H542, 0)</f>
        <v>0</v>
      </c>
      <c r="Y542">
        <f>IF(Source!BI244=3,H542, 0)</f>
        <v>0</v>
      </c>
      <c r="Z542">
        <f>IF(Source!BI244=4,H542, 0)</f>
        <v>0</v>
      </c>
    </row>
    <row r="543" spans="1:26" ht="15" x14ac:dyDescent="0.25">
      <c r="G543" s="61">
        <f>H534+H535+H537+H538+H539+SUM(H541:H542)</f>
        <v>362.35</v>
      </c>
      <c r="H543" s="61"/>
      <c r="J543" s="61">
        <f>K534+K535+K537+K538+K539+SUM(K541:K542)</f>
        <v>2221.35</v>
      </c>
      <c r="K543" s="61"/>
      <c r="L543" s="37">
        <f>Source!U242</f>
        <v>1.1288399999999998</v>
      </c>
      <c r="O543" s="23">
        <f>G543</f>
        <v>362.35</v>
      </c>
      <c r="P543" s="23">
        <f>J543</f>
        <v>2221.35</v>
      </c>
      <c r="Q543" s="23">
        <f>L543</f>
        <v>1.1288399999999998</v>
      </c>
      <c r="W543">
        <f>IF(Source!BI242&lt;=1,H534+H535+H537+H538+H539, 0)</f>
        <v>39.22</v>
      </c>
      <c r="X543">
        <f>IF(Source!BI242=2,H534+H535+H537+H538+H539, 0)</f>
        <v>0</v>
      </c>
      <c r="Y543">
        <f>IF(Source!BI242=3,H534+H535+H537+H538+H539, 0)</f>
        <v>0</v>
      </c>
      <c r="Z543">
        <f>IF(Source!BI242=4,H534+H535+H537+H538+H539, 0)</f>
        <v>0</v>
      </c>
    </row>
    <row r="544" spans="1:26" ht="14.25" x14ac:dyDescent="0.2">
      <c r="A544" s="42" t="str">
        <f>Source!E245</f>
        <v>49</v>
      </c>
      <c r="B544" s="43" t="str">
        <f>Source!F245</f>
        <v>17-01-002-03</v>
      </c>
      <c r="C544" s="43" t="str">
        <f>Source!G245</f>
        <v>Установка смесителей</v>
      </c>
      <c r="D544" s="26" t="str">
        <f>Source!H245</f>
        <v>10 ШТ</v>
      </c>
      <c r="E544" s="10">
        <f>Source!I245</f>
        <v>0.4</v>
      </c>
      <c r="F544" s="27">
        <f>Source!AL245+Source!AM245+Source!AO245</f>
        <v>78.320000000000007</v>
      </c>
      <c r="G544" s="28"/>
      <c r="H544" s="27"/>
      <c r="I544" s="28" t="str">
        <f>Source!BO245</f>
        <v/>
      </c>
      <c r="J544" s="28"/>
      <c r="K544" s="27"/>
      <c r="L544" s="29"/>
      <c r="S544">
        <f>ROUND((Source!FX245/100)*((ROUND(Source!AF245*Source!I245, 2)+ROUND(Source!AE245*Source!I245, 2))), 2)</f>
        <v>42.82</v>
      </c>
      <c r="T544">
        <f>Source!X245</f>
        <v>262.04000000000002</v>
      </c>
      <c r="U544">
        <f>ROUND((Source!FY245/100)*((ROUND(Source!AF245*Source!I245, 2)+ROUND(Source!AE245*Source!I245, 2))), 2)</f>
        <v>26.22</v>
      </c>
      <c r="V544">
        <f>Source!Y245</f>
        <v>161.78</v>
      </c>
    </row>
    <row r="545" spans="1:26" x14ac:dyDescent="0.2">
      <c r="C545" s="22" t="str">
        <f>"Объем: "&amp;Source!I245&amp;"=4/"&amp;"10"</f>
        <v>Объем: 0,4=4/10</v>
      </c>
    </row>
    <row r="546" spans="1:26" ht="14.25" x14ac:dyDescent="0.2">
      <c r="A546" s="42"/>
      <c r="B546" s="43"/>
      <c r="C546" s="43" t="s">
        <v>1302</v>
      </c>
      <c r="D546" s="26"/>
      <c r="E546" s="10"/>
      <c r="F546" s="27">
        <f>Source!AO245</f>
        <v>67.34</v>
      </c>
      <c r="G546" s="28" t="str">
        <f>Source!DG245</f>
        <v>)*1,2)*1,15</v>
      </c>
      <c r="H546" s="27">
        <f>ROUND(Source!AF245*Source!I245, 2)</f>
        <v>37.17</v>
      </c>
      <c r="I546" s="28"/>
      <c r="J546" s="28">
        <f>IF(Source!BA245&lt;&gt; 0, Source!BA245, 1)</f>
        <v>6.13</v>
      </c>
      <c r="K546" s="27">
        <f>Source!S245</f>
        <v>227.86</v>
      </c>
      <c r="L546" s="29"/>
      <c r="R546">
        <f>H546</f>
        <v>37.17</v>
      </c>
    </row>
    <row r="547" spans="1:26" ht="14.25" x14ac:dyDescent="0.2">
      <c r="A547" s="42"/>
      <c r="B547" s="43"/>
      <c r="C547" s="43" t="s">
        <v>1309</v>
      </c>
      <c r="D547" s="26"/>
      <c r="E547" s="10"/>
      <c r="F547" s="27">
        <f>Source!AL245</f>
        <v>10.98</v>
      </c>
      <c r="G547" s="28" t="str">
        <f>Source!DD245</f>
        <v/>
      </c>
      <c r="H547" s="27">
        <f>ROUND(Source!AC245*Source!I245, 2)</f>
        <v>4.3899999999999997</v>
      </c>
      <c r="I547" s="28"/>
      <c r="J547" s="28">
        <f>IF(Source!BC245&lt;&gt; 0, Source!BC245, 1)</f>
        <v>6.13</v>
      </c>
      <c r="K547" s="27">
        <f>Source!P245</f>
        <v>26.92</v>
      </c>
      <c r="L547" s="29"/>
    </row>
    <row r="548" spans="1:26" ht="14.25" x14ac:dyDescent="0.2">
      <c r="A548" s="42"/>
      <c r="B548" s="43"/>
      <c r="C548" s="43" t="s">
        <v>1304</v>
      </c>
      <c r="D548" s="26" t="s">
        <v>1305</v>
      </c>
      <c r="E548" s="10">
        <f>Source!BZ245</f>
        <v>128</v>
      </c>
      <c r="F548" s="50" t="str">
        <f>CONCATENATE(" )", Source!DL245, Source!FT245, "=", Source!FX245)</f>
        <v xml:space="preserve"> )*0,9=115,2</v>
      </c>
      <c r="G548" s="62"/>
      <c r="H548" s="27">
        <f>SUM(S544:S557)</f>
        <v>42.82</v>
      </c>
      <c r="I548" s="31"/>
      <c r="J548" s="25">
        <f>Source!AT245</f>
        <v>115</v>
      </c>
      <c r="K548" s="27">
        <f>SUM(T544:T557)</f>
        <v>262.04000000000002</v>
      </c>
      <c r="L548" s="29"/>
    </row>
    <row r="549" spans="1:26" ht="14.25" x14ac:dyDescent="0.2">
      <c r="A549" s="42"/>
      <c r="B549" s="43"/>
      <c r="C549" s="43" t="s">
        <v>1306</v>
      </c>
      <c r="D549" s="26" t="s">
        <v>1305</v>
      </c>
      <c r="E549" s="10">
        <f>Source!CA245</f>
        <v>83</v>
      </c>
      <c r="F549" s="50" t="str">
        <f>CONCATENATE(" )", Source!DM245, Source!FU245, "=", Source!FY245)</f>
        <v xml:space="preserve"> )*0,85=70,55</v>
      </c>
      <c r="G549" s="62"/>
      <c r="H549" s="27">
        <f>SUM(U544:U557)</f>
        <v>26.22</v>
      </c>
      <c r="I549" s="31"/>
      <c r="J549" s="25">
        <f>Source!AU245</f>
        <v>71</v>
      </c>
      <c r="K549" s="27">
        <f>SUM(V544:V557)</f>
        <v>161.78</v>
      </c>
      <c r="L549" s="29"/>
    </row>
    <row r="550" spans="1:26" ht="14.25" x14ac:dyDescent="0.2">
      <c r="A550" s="42"/>
      <c r="B550" s="43"/>
      <c r="C550" s="43" t="s">
        <v>1307</v>
      </c>
      <c r="D550" s="26" t="s">
        <v>1308</v>
      </c>
      <c r="E550" s="10">
        <f>Source!AQ245</f>
        <v>7</v>
      </c>
      <c r="F550" s="27"/>
      <c r="G550" s="28" t="str">
        <f>Source!DI245</f>
        <v>)*1,2)*1,15</v>
      </c>
      <c r="H550" s="27"/>
      <c r="I550" s="28"/>
      <c r="J550" s="28"/>
      <c r="K550" s="27"/>
      <c r="L550" s="38">
        <f>Source!U245</f>
        <v>3.8640000000000003</v>
      </c>
    </row>
    <row r="551" spans="1:26" ht="28.5" x14ac:dyDescent="0.2">
      <c r="A551" s="42" t="str">
        <f>Source!E246</f>
        <v>49,1</v>
      </c>
      <c r="B551" s="43" t="str">
        <f>Source!F246</f>
        <v>01.7.15.07-0009</v>
      </c>
      <c r="C551" s="43" t="str">
        <f>Source!G246</f>
        <v>Дюбели пластмассовые с шурупами 8х60 мм</v>
      </c>
      <c r="D551" s="26" t="str">
        <f>Source!H246</f>
        <v>100 шт.</v>
      </c>
      <c r="E551" s="10">
        <f>Source!I246</f>
        <v>0.08</v>
      </c>
      <c r="F551" s="27">
        <f>Source!AL246+Source!AM246+Source!AO246</f>
        <v>29.6</v>
      </c>
      <c r="G551" s="39" t="s">
        <v>3</v>
      </c>
      <c r="H551" s="27">
        <f>ROUND(Source!AC246*Source!I246, 2)+ROUND(Source!AD246*Source!I246, 2)+ROUND(Source!AF246*Source!I246, 2)</f>
        <v>2.37</v>
      </c>
      <c r="I551" s="28"/>
      <c r="J551" s="28">
        <f>IF(Source!BC246&lt;&gt; 0, Source!BC246, 1)</f>
        <v>6.13</v>
      </c>
      <c r="K551" s="27">
        <f>Source!O246</f>
        <v>14.52</v>
      </c>
      <c r="L551" s="29"/>
      <c r="S551">
        <f>ROUND((Source!FX246/100)*((ROUND(Source!AF246*Source!I246, 2)+ROUND(Source!AE246*Source!I246, 2))), 2)</f>
        <v>0</v>
      </c>
      <c r="T551">
        <f>Source!X246</f>
        <v>0</v>
      </c>
      <c r="U551">
        <f>ROUND((Source!FY246/100)*((ROUND(Source!AF246*Source!I246, 2)+ROUND(Source!AE246*Source!I246, 2))), 2)</f>
        <v>0</v>
      </c>
      <c r="V551">
        <f>Source!Y246</f>
        <v>0</v>
      </c>
      <c r="W551">
        <f>IF(Source!BI246&lt;=1,H551, 0)</f>
        <v>2.37</v>
      </c>
      <c r="X551">
        <f>IF(Source!BI246=2,H551, 0)</f>
        <v>0</v>
      </c>
      <c r="Y551">
        <f>IF(Source!BI246=3,H551, 0)</f>
        <v>0</v>
      </c>
      <c r="Z551">
        <f>IF(Source!BI246=4,H551, 0)</f>
        <v>0</v>
      </c>
    </row>
    <row r="552" spans="1:26" ht="42.75" x14ac:dyDescent="0.2">
      <c r="A552" s="42" t="str">
        <f>Source!E247</f>
        <v>49,2</v>
      </c>
      <c r="B552" s="43" t="str">
        <f>Source!F247</f>
        <v>18.1.10.10-0032</v>
      </c>
      <c r="C552" s="43" t="str">
        <f>Source!G247</f>
        <v>Смесители для душевых установок СМ-Д-ШЛ с душевой сеткой на гибком шланге</v>
      </c>
      <c r="D552" s="26" t="str">
        <f>Source!H247</f>
        <v>компл.</v>
      </c>
      <c r="E552" s="10">
        <f>Source!I247</f>
        <v>1</v>
      </c>
      <c r="F552" s="27">
        <f>Source!AL247+Source!AM247+Source!AO247</f>
        <v>119.57</v>
      </c>
      <c r="G552" s="39" t="s">
        <v>3</v>
      </c>
      <c r="H552" s="27">
        <f>ROUND(Source!AC247*Source!I247, 2)+ROUND(Source!AD247*Source!I247, 2)+ROUND(Source!AF247*Source!I247, 2)</f>
        <v>119.57</v>
      </c>
      <c r="I552" s="28"/>
      <c r="J552" s="28">
        <f>IF(Source!BC247&lt;&gt; 0, Source!BC247, 1)</f>
        <v>6.13</v>
      </c>
      <c r="K552" s="27">
        <f>Source!O247</f>
        <v>732.96</v>
      </c>
      <c r="L552" s="29"/>
      <c r="S552">
        <f>ROUND((Source!FX247/100)*((ROUND(Source!AF247*Source!I247, 2)+ROUND(Source!AE247*Source!I247, 2))), 2)</f>
        <v>0</v>
      </c>
      <c r="T552">
        <f>Source!X247</f>
        <v>0</v>
      </c>
      <c r="U552">
        <f>ROUND((Source!FY247/100)*((ROUND(Source!AF247*Source!I247, 2)+ROUND(Source!AE247*Source!I247, 2))), 2)</f>
        <v>0</v>
      </c>
      <c r="V552">
        <f>Source!Y247</f>
        <v>0</v>
      </c>
      <c r="W552">
        <f>IF(Source!BI247&lt;=1,H552, 0)</f>
        <v>119.57</v>
      </c>
      <c r="X552">
        <f>IF(Source!BI247=2,H552, 0)</f>
        <v>0</v>
      </c>
      <c r="Y552">
        <f>IF(Source!BI247=3,H552, 0)</f>
        <v>0</v>
      </c>
      <c r="Z552">
        <f>IF(Source!BI247=4,H552, 0)</f>
        <v>0</v>
      </c>
    </row>
    <row r="553" spans="1:26" ht="57" x14ac:dyDescent="0.2">
      <c r="A553" s="42" t="str">
        <f>Source!E248</f>
        <v>49,3</v>
      </c>
      <c r="B553" s="43" t="str">
        <f>Source!F248</f>
        <v>18.1.10.10-0072</v>
      </c>
      <c r="C553" s="43" t="str">
        <f>Source!G248</f>
        <v>Смеситель латунный с гальванопокрытием для мойки настольный, с верхней камерой смешения</v>
      </c>
      <c r="D553" s="26" t="str">
        <f>Source!H248</f>
        <v>шт.</v>
      </c>
      <c r="E553" s="10">
        <f>Source!I248</f>
        <v>2</v>
      </c>
      <c r="F553" s="27">
        <f>Source!AL248+Source!AM248+Source!AO248</f>
        <v>143</v>
      </c>
      <c r="G553" s="39" t="s">
        <v>3</v>
      </c>
      <c r="H553" s="27">
        <f>ROUND(Source!AC248*Source!I248, 2)+ROUND(Source!AD248*Source!I248, 2)+ROUND(Source!AF248*Source!I248, 2)</f>
        <v>286</v>
      </c>
      <c r="I553" s="28"/>
      <c r="J553" s="28">
        <f>IF(Source!BC248&lt;&gt; 0, Source!BC248, 1)</f>
        <v>6.13</v>
      </c>
      <c r="K553" s="27">
        <f>Source!O248</f>
        <v>1753.18</v>
      </c>
      <c r="L553" s="29"/>
      <c r="S553">
        <f>ROUND((Source!FX248/100)*((ROUND(Source!AF248*Source!I248, 2)+ROUND(Source!AE248*Source!I248, 2))), 2)</f>
        <v>0</v>
      </c>
      <c r="T553">
        <f>Source!X248</f>
        <v>0</v>
      </c>
      <c r="U553">
        <f>ROUND((Source!FY248/100)*((ROUND(Source!AF248*Source!I248, 2)+ROUND(Source!AE248*Source!I248, 2))), 2)</f>
        <v>0</v>
      </c>
      <c r="V553">
        <f>Source!Y248</f>
        <v>0</v>
      </c>
      <c r="W553">
        <f>IF(Source!BI248&lt;=1,H553, 0)</f>
        <v>286</v>
      </c>
      <c r="X553">
        <f>IF(Source!BI248=2,H553, 0)</f>
        <v>0</v>
      </c>
      <c r="Y553">
        <f>IF(Source!BI248=3,H553, 0)</f>
        <v>0</v>
      </c>
      <c r="Z553">
        <f>IF(Source!BI248=4,H553, 0)</f>
        <v>0</v>
      </c>
    </row>
    <row r="554" spans="1:26" ht="42.75" x14ac:dyDescent="0.2">
      <c r="A554" s="42" t="str">
        <f>Source!E249</f>
        <v>49,4</v>
      </c>
      <c r="B554" s="43" t="str">
        <f>Source!F249</f>
        <v>18.1.10.10-0047</v>
      </c>
      <c r="C554" s="43" t="str">
        <f>Source!G249</f>
        <v>Смесители для умывальников СМ-УМ-ЦА настольные, с верхней камерой смешения, центральные, с аэратором</v>
      </c>
      <c r="D554" s="26" t="str">
        <f>Source!H249</f>
        <v>компл.</v>
      </c>
      <c r="E554" s="10">
        <f>Source!I249</f>
        <v>1</v>
      </c>
      <c r="F554" s="27">
        <f>Source!AL249+Source!AM249+Source!AO249</f>
        <v>87.17</v>
      </c>
      <c r="G554" s="39" t="s">
        <v>3</v>
      </c>
      <c r="H554" s="27">
        <f>ROUND(Source!AC249*Source!I249, 2)+ROUND(Source!AD249*Source!I249, 2)+ROUND(Source!AF249*Source!I249, 2)</f>
        <v>87.17</v>
      </c>
      <c r="I554" s="28"/>
      <c r="J554" s="28">
        <f>IF(Source!BC249&lt;&gt; 0, Source!BC249, 1)</f>
        <v>6.13</v>
      </c>
      <c r="K554" s="27">
        <f>Source!O249</f>
        <v>534.35</v>
      </c>
      <c r="L554" s="29"/>
      <c r="S554">
        <f>ROUND((Source!FX249/100)*((ROUND(Source!AF249*Source!I249, 2)+ROUND(Source!AE249*Source!I249, 2))), 2)</f>
        <v>0</v>
      </c>
      <c r="T554">
        <f>Source!X249</f>
        <v>0</v>
      </c>
      <c r="U554">
        <f>ROUND((Source!FY249/100)*((ROUND(Source!AF249*Source!I249, 2)+ROUND(Source!AE249*Source!I249, 2))), 2)</f>
        <v>0</v>
      </c>
      <c r="V554">
        <f>Source!Y249</f>
        <v>0</v>
      </c>
      <c r="W554">
        <f>IF(Source!BI249&lt;=1,H554, 0)</f>
        <v>87.17</v>
      </c>
      <c r="X554">
        <f>IF(Source!BI249=2,H554, 0)</f>
        <v>0</v>
      </c>
      <c r="Y554">
        <f>IF(Source!BI249=3,H554, 0)</f>
        <v>0</v>
      </c>
      <c r="Z554">
        <f>IF(Source!BI249=4,H554, 0)</f>
        <v>0</v>
      </c>
    </row>
    <row r="555" spans="1:26" ht="28.5" x14ac:dyDescent="0.2">
      <c r="A555" s="42" t="str">
        <f>Source!E250</f>
        <v>49,5</v>
      </c>
      <c r="B555" s="43" t="str">
        <f>Source!F250</f>
        <v>18.2.06.08-0016</v>
      </c>
      <c r="C555" s="43" t="str">
        <f>Source!G250</f>
        <v>Подводка гибкая армированная резиновая 1000 мм</v>
      </c>
      <c r="D555" s="26" t="str">
        <f>Source!H250</f>
        <v>10 шт.</v>
      </c>
      <c r="E555" s="10">
        <f>Source!I250</f>
        <v>0.8</v>
      </c>
      <c r="F555" s="27">
        <f>Source!AL250+Source!AM250+Source!AO250</f>
        <v>160.19999999999999</v>
      </c>
      <c r="G555" s="39" t="s">
        <v>3</v>
      </c>
      <c r="H555" s="27">
        <f>ROUND(Source!AC250*Source!I250, 2)+ROUND(Source!AD250*Source!I250, 2)+ROUND(Source!AF250*Source!I250, 2)</f>
        <v>128.16</v>
      </c>
      <c r="I555" s="28"/>
      <c r="J555" s="28">
        <f>IF(Source!BC250&lt;&gt; 0, Source!BC250, 1)</f>
        <v>6.13</v>
      </c>
      <c r="K555" s="27">
        <f>Source!O250</f>
        <v>785.62</v>
      </c>
      <c r="L555" s="29"/>
      <c r="S555">
        <f>ROUND((Source!FX250/100)*((ROUND(Source!AF250*Source!I250, 2)+ROUND(Source!AE250*Source!I250, 2))), 2)</f>
        <v>0</v>
      </c>
      <c r="T555">
        <f>Source!X250</f>
        <v>0</v>
      </c>
      <c r="U555">
        <f>ROUND((Source!FY250/100)*((ROUND(Source!AF250*Source!I250, 2)+ROUND(Source!AE250*Source!I250, 2))), 2)</f>
        <v>0</v>
      </c>
      <c r="V555">
        <f>Source!Y250</f>
        <v>0</v>
      </c>
      <c r="W555">
        <f>IF(Source!BI250&lt;=1,H555, 0)</f>
        <v>128.16</v>
      </c>
      <c r="X555">
        <f>IF(Source!BI250=2,H555, 0)</f>
        <v>0</v>
      </c>
      <c r="Y555">
        <f>IF(Source!BI250=3,H555, 0)</f>
        <v>0</v>
      </c>
      <c r="Z555">
        <f>IF(Source!BI250=4,H555, 0)</f>
        <v>0</v>
      </c>
    </row>
    <row r="556" spans="1:26" ht="14.25" x14ac:dyDescent="0.2">
      <c r="A556" s="42" t="str">
        <f>Source!E251</f>
        <v>49,6</v>
      </c>
      <c r="B556" s="43" t="str">
        <f>Source!F251</f>
        <v>01.7.15.07</v>
      </c>
      <c r="C556" s="43" t="str">
        <f>Source!G251</f>
        <v>Дюбели распорные полиэтиленовые</v>
      </c>
      <c r="D556" s="26" t="str">
        <f>Source!H251</f>
        <v>10 шт.</v>
      </c>
      <c r="E556" s="10">
        <f>Source!I251</f>
        <v>0.8</v>
      </c>
      <c r="F556" s="27">
        <f>Source!AL251+Source!AM251+Source!AO251</f>
        <v>0</v>
      </c>
      <c r="G556" s="39" t="s">
        <v>3</v>
      </c>
      <c r="H556" s="27">
        <f>ROUND(Source!AC251*Source!I251, 2)+ROUND(Source!AD251*Source!I251, 2)+ROUND(Source!AF251*Source!I251, 2)</f>
        <v>0</v>
      </c>
      <c r="I556" s="28"/>
      <c r="J556" s="28">
        <f>IF(Source!BC251&lt;&gt; 0, Source!BC251, 1)</f>
        <v>6.13</v>
      </c>
      <c r="K556" s="27">
        <f>Source!O251</f>
        <v>0</v>
      </c>
      <c r="L556" s="29"/>
      <c r="S556">
        <f>ROUND((Source!FX251/100)*((ROUND(Source!AF251*Source!I251, 2)+ROUND(Source!AE251*Source!I251, 2))), 2)</f>
        <v>0</v>
      </c>
      <c r="T556">
        <f>Source!X251</f>
        <v>0</v>
      </c>
      <c r="U556">
        <f>ROUND((Source!FY251/100)*((ROUND(Source!AF251*Source!I251, 2)+ROUND(Source!AE251*Source!I251, 2))), 2)</f>
        <v>0</v>
      </c>
      <c r="V556">
        <f>Source!Y251</f>
        <v>0</v>
      </c>
      <c r="W556">
        <f>IF(Source!BI251&lt;=1,H556, 0)</f>
        <v>0</v>
      </c>
      <c r="X556">
        <f>IF(Source!BI251=2,H556, 0)</f>
        <v>0</v>
      </c>
      <c r="Y556">
        <f>IF(Source!BI251=3,H556, 0)</f>
        <v>0</v>
      </c>
      <c r="Z556">
        <f>IF(Source!BI251=4,H556, 0)</f>
        <v>0</v>
      </c>
    </row>
    <row r="557" spans="1:26" ht="14.25" x14ac:dyDescent="0.2">
      <c r="A557" s="44" t="str">
        <f>Source!E252</f>
        <v>49,7</v>
      </c>
      <c r="B557" s="45" t="str">
        <f>Source!F252</f>
        <v>18.1.10.10</v>
      </c>
      <c r="C557" s="45" t="str">
        <f>Source!G252</f>
        <v>Смесители</v>
      </c>
      <c r="D557" s="32" t="str">
        <f>Source!H252</f>
        <v>шт.</v>
      </c>
      <c r="E557" s="33">
        <f>Source!I252</f>
        <v>4</v>
      </c>
      <c r="F557" s="34">
        <f>Source!AL252+Source!AM252+Source!AO252</f>
        <v>0</v>
      </c>
      <c r="G557" s="40" t="s">
        <v>3</v>
      </c>
      <c r="H557" s="34">
        <f>ROUND(Source!AC252*Source!I252, 2)+ROUND(Source!AD252*Source!I252, 2)+ROUND(Source!AF252*Source!I252, 2)</f>
        <v>0</v>
      </c>
      <c r="I557" s="35"/>
      <c r="J557" s="35">
        <f>IF(Source!BC252&lt;&gt; 0, Source!BC252, 1)</f>
        <v>6.13</v>
      </c>
      <c r="K557" s="34">
        <f>Source!O252</f>
        <v>0</v>
      </c>
      <c r="L557" s="41"/>
      <c r="S557">
        <f>ROUND((Source!FX252/100)*((ROUND(Source!AF252*Source!I252, 2)+ROUND(Source!AE252*Source!I252, 2))), 2)</f>
        <v>0</v>
      </c>
      <c r="T557">
        <f>Source!X252</f>
        <v>0</v>
      </c>
      <c r="U557">
        <f>ROUND((Source!FY252/100)*((ROUND(Source!AF252*Source!I252, 2)+ROUND(Source!AE252*Source!I252, 2))), 2)</f>
        <v>0</v>
      </c>
      <c r="V557">
        <f>Source!Y252</f>
        <v>0</v>
      </c>
      <c r="W557">
        <f>IF(Source!BI252&lt;=1,H557, 0)</f>
        <v>0</v>
      </c>
      <c r="X557">
        <f>IF(Source!BI252=2,H557, 0)</f>
        <v>0</v>
      </c>
      <c r="Y557">
        <f>IF(Source!BI252=3,H557, 0)</f>
        <v>0</v>
      </c>
      <c r="Z557">
        <f>IF(Source!BI252=4,H557, 0)</f>
        <v>0</v>
      </c>
    </row>
    <row r="558" spans="1:26" ht="15" x14ac:dyDescent="0.25">
      <c r="G558" s="61">
        <f>H546+H547+H548+H549+SUM(H551:H557)</f>
        <v>733.87</v>
      </c>
      <c r="H558" s="61"/>
      <c r="J558" s="61">
        <f>K546+K547+K548+K549+SUM(K551:K557)</f>
        <v>4499.2299999999996</v>
      </c>
      <c r="K558" s="61"/>
      <c r="L558" s="37">
        <f>Source!U245</f>
        <v>3.8640000000000003</v>
      </c>
      <c r="O558" s="23">
        <f>G558</f>
        <v>733.87</v>
      </c>
      <c r="P558" s="23">
        <f>J558</f>
        <v>4499.2299999999996</v>
      </c>
      <c r="Q558" s="23">
        <f>L558</f>
        <v>3.8640000000000003</v>
      </c>
      <c r="W558">
        <f>IF(Source!BI245&lt;=1,H546+H547+H548+H549, 0)</f>
        <v>110.6</v>
      </c>
      <c r="X558">
        <f>IF(Source!BI245=2,H546+H547+H548+H549, 0)</f>
        <v>0</v>
      </c>
      <c r="Y558">
        <f>IF(Source!BI245=3,H546+H547+H548+H549, 0)</f>
        <v>0</v>
      </c>
      <c r="Z558">
        <f>IF(Source!BI245=4,H546+H547+H548+H549, 0)</f>
        <v>0</v>
      </c>
    </row>
    <row r="559" spans="1:26" ht="85.5" x14ac:dyDescent="0.2">
      <c r="A559" s="42" t="str">
        <f>Source!E253</f>
        <v>50</v>
      </c>
      <c r="B559" s="43" t="str">
        <f>Source!F253</f>
        <v>м08-03-525-09</v>
      </c>
      <c r="C559" s="43" t="str">
        <f>Source!G253</f>
        <v>Аппарат штепсельный общего назначения, устанавливаемый на конструкции на стене или колонне, с контактами силовых цепей на ток до 63 А (Водонагреватель электрический накопительный)</v>
      </c>
      <c r="D559" s="26" t="str">
        <f>Source!H253</f>
        <v>КОМПЛ</v>
      </c>
      <c r="E559" s="10">
        <f>Source!I253</f>
        <v>3</v>
      </c>
      <c r="F559" s="27">
        <f>Source!AL253+Source!AM253+Source!AO253</f>
        <v>65.78</v>
      </c>
      <c r="G559" s="28"/>
      <c r="H559" s="27"/>
      <c r="I559" s="28" t="str">
        <f>Source!BO253</f>
        <v/>
      </c>
      <c r="J559" s="28"/>
      <c r="K559" s="27"/>
      <c r="L559" s="29"/>
      <c r="S559">
        <f>ROUND((Source!FX253/100)*((ROUND(Source!AF253*Source!I253, 2)+ROUND(Source!AE253*Source!I253, 2))), 2)</f>
        <v>61.65</v>
      </c>
      <c r="T559">
        <f>Source!X253</f>
        <v>377.89</v>
      </c>
      <c r="U559">
        <f>ROUND((Source!FY253/100)*((ROUND(Source!AF253*Source!I253, 2)+ROUND(Source!AE253*Source!I253, 2))), 2)</f>
        <v>42.18</v>
      </c>
      <c r="V559">
        <f>Source!Y253</f>
        <v>258.56</v>
      </c>
    </row>
    <row r="560" spans="1:26" ht="14.25" x14ac:dyDescent="0.2">
      <c r="A560" s="42"/>
      <c r="B560" s="43"/>
      <c r="C560" s="43" t="s">
        <v>1302</v>
      </c>
      <c r="D560" s="26"/>
      <c r="E560" s="10"/>
      <c r="F560" s="27">
        <f>Source!AO253</f>
        <v>21.63</v>
      </c>
      <c r="G560" s="28" t="str">
        <f>Source!DG253</f>
        <v/>
      </c>
      <c r="H560" s="27">
        <f>ROUND(Source!AF253*Source!I253, 2)</f>
        <v>64.89</v>
      </c>
      <c r="I560" s="28"/>
      <c r="J560" s="28">
        <f>IF(Source!BA253&lt;&gt; 0, Source!BA253, 1)</f>
        <v>6.13</v>
      </c>
      <c r="K560" s="27">
        <f>Source!S253</f>
        <v>397.78</v>
      </c>
      <c r="L560" s="29"/>
      <c r="R560">
        <f>H560</f>
        <v>64.89</v>
      </c>
    </row>
    <row r="561" spans="1:26" ht="14.25" x14ac:dyDescent="0.2">
      <c r="A561" s="42"/>
      <c r="B561" s="43"/>
      <c r="C561" s="43" t="s">
        <v>334</v>
      </c>
      <c r="D561" s="26"/>
      <c r="E561" s="10"/>
      <c r="F561" s="27">
        <f>Source!AM253</f>
        <v>0.59</v>
      </c>
      <c r="G561" s="28" t="str">
        <f>Source!DE253</f>
        <v/>
      </c>
      <c r="H561" s="27">
        <f>ROUND(Source!AD253*Source!I253, 2)</f>
        <v>1.77</v>
      </c>
      <c r="I561" s="28"/>
      <c r="J561" s="28">
        <f>IF(Source!BB253&lt;&gt; 0, Source!BB253, 1)</f>
        <v>6.13</v>
      </c>
      <c r="K561" s="27">
        <f>Source!Q253</f>
        <v>10.85</v>
      </c>
      <c r="L561" s="29"/>
    </row>
    <row r="562" spans="1:26" ht="14.25" x14ac:dyDescent="0.2">
      <c r="A562" s="42"/>
      <c r="B562" s="43"/>
      <c r="C562" s="43" t="s">
        <v>1309</v>
      </c>
      <c r="D562" s="26"/>
      <c r="E562" s="10"/>
      <c r="F562" s="27">
        <f>Source!AL253</f>
        <v>43.56</v>
      </c>
      <c r="G562" s="28" t="str">
        <f>Source!DD253</f>
        <v/>
      </c>
      <c r="H562" s="27">
        <f>ROUND(Source!AC253*Source!I253, 2)</f>
        <v>130.68</v>
      </c>
      <c r="I562" s="28"/>
      <c r="J562" s="28">
        <f>IF(Source!BC253&lt;&gt; 0, Source!BC253, 1)</f>
        <v>6.13</v>
      </c>
      <c r="K562" s="27">
        <f>Source!P253</f>
        <v>801.07</v>
      </c>
      <c r="L562" s="29"/>
    </row>
    <row r="563" spans="1:26" ht="14.25" x14ac:dyDescent="0.2">
      <c r="A563" s="42"/>
      <c r="B563" s="43"/>
      <c r="C563" s="43" t="s">
        <v>1304</v>
      </c>
      <c r="D563" s="26" t="s">
        <v>1305</v>
      </c>
      <c r="E563" s="10">
        <f>Source!BZ253</f>
        <v>95</v>
      </c>
      <c r="F563" s="46"/>
      <c r="G563" s="28"/>
      <c r="H563" s="27">
        <f>SUM(S559:S566)</f>
        <v>61.65</v>
      </c>
      <c r="I563" s="31"/>
      <c r="J563" s="25">
        <f>Source!AT253</f>
        <v>95</v>
      </c>
      <c r="K563" s="27">
        <f>SUM(T559:T566)</f>
        <v>377.89</v>
      </c>
      <c r="L563" s="29"/>
    </row>
    <row r="564" spans="1:26" ht="14.25" x14ac:dyDescent="0.2">
      <c r="A564" s="42"/>
      <c r="B564" s="43"/>
      <c r="C564" s="43" t="s">
        <v>1306</v>
      </c>
      <c r="D564" s="26" t="s">
        <v>1305</v>
      </c>
      <c r="E564" s="10">
        <f>Source!CA253</f>
        <v>65</v>
      </c>
      <c r="F564" s="46"/>
      <c r="G564" s="28"/>
      <c r="H564" s="27">
        <f>SUM(U559:U566)</f>
        <v>42.18</v>
      </c>
      <c r="I564" s="31"/>
      <c r="J564" s="25">
        <f>Source!AU253</f>
        <v>65</v>
      </c>
      <c r="K564" s="27">
        <f>SUM(V559:V566)</f>
        <v>258.56</v>
      </c>
      <c r="L564" s="29"/>
    </row>
    <row r="565" spans="1:26" ht="14.25" x14ac:dyDescent="0.2">
      <c r="A565" s="42"/>
      <c r="B565" s="43"/>
      <c r="C565" s="43" t="s">
        <v>1307</v>
      </c>
      <c r="D565" s="26" t="s">
        <v>1308</v>
      </c>
      <c r="E565" s="10">
        <f>Source!AQ253</f>
        <v>2.09</v>
      </c>
      <c r="F565" s="27"/>
      <c r="G565" s="28" t="str">
        <f>Source!DI253</f>
        <v/>
      </c>
      <c r="H565" s="27"/>
      <c r="I565" s="28"/>
      <c r="J565" s="28"/>
      <c r="K565" s="27"/>
      <c r="L565" s="38">
        <f>Source!U253</f>
        <v>6.27</v>
      </c>
    </row>
    <row r="566" spans="1:26" ht="71.25" x14ac:dyDescent="0.2">
      <c r="A566" s="44" t="str">
        <f>Source!E254</f>
        <v>50,1</v>
      </c>
      <c r="B566" s="45" t="str">
        <f>Source!F254</f>
        <v>63.1.01.06-0134</v>
      </c>
      <c r="C566" s="45" t="str">
        <f>Source!G254</f>
        <v>Электроводонагреватели накопительные вертикального исполнения, объемом 130 л, мощностью 1,25 кВт, размерами 460х1320х440 мм</v>
      </c>
      <c r="D566" s="32" t="str">
        <f>Source!H254</f>
        <v>шт.</v>
      </c>
      <c r="E566" s="33">
        <f>Source!I254</f>
        <v>3</v>
      </c>
      <c r="F566" s="34">
        <f>Source!AL254+Source!AM254+Source!AO254</f>
        <v>5906.69</v>
      </c>
      <c r="G566" s="40" t="s">
        <v>3</v>
      </c>
      <c r="H566" s="34">
        <f>ROUND(Source!AC254*Source!I254, 2)+ROUND(Source!AD254*Source!I254, 2)+ROUND(Source!AF254*Source!I254, 2)</f>
        <v>17720.07</v>
      </c>
      <c r="I566" s="35"/>
      <c r="J566" s="35">
        <f>IF(Source!BC254&lt;&gt; 0, Source!BC254, 1)</f>
        <v>6.13</v>
      </c>
      <c r="K566" s="34">
        <f>Source!O254</f>
        <v>108624.03</v>
      </c>
      <c r="L566" s="41"/>
      <c r="S566">
        <f>ROUND((Source!FX254/100)*((ROUND(Source!AF254*Source!I254, 2)+ROUND(Source!AE254*Source!I254, 2))), 2)</f>
        <v>0</v>
      </c>
      <c r="T566">
        <f>Source!X254</f>
        <v>0</v>
      </c>
      <c r="U566">
        <f>ROUND((Source!FY254/100)*((ROUND(Source!AF254*Source!I254, 2)+ROUND(Source!AE254*Source!I254, 2))), 2)</f>
        <v>0</v>
      </c>
      <c r="V566">
        <f>Source!Y254</f>
        <v>0</v>
      </c>
      <c r="W566">
        <f>IF(Source!BI254&lt;=1,H566, 0)</f>
        <v>0</v>
      </c>
      <c r="X566">
        <f>IF(Source!BI254=2,H566, 0)</f>
        <v>17720.07</v>
      </c>
      <c r="Y566">
        <f>IF(Source!BI254=3,H566, 0)</f>
        <v>0</v>
      </c>
      <c r="Z566">
        <f>IF(Source!BI254=4,H566, 0)</f>
        <v>0</v>
      </c>
    </row>
    <row r="567" spans="1:26" ht="15" x14ac:dyDescent="0.25">
      <c r="G567" s="61">
        <f>H560+H561+H562+H563+H564+SUM(H566:H566)</f>
        <v>18021.239999999998</v>
      </c>
      <c r="H567" s="61"/>
      <c r="J567" s="61">
        <f>K560+K561+K562+K563+K564+SUM(K566:K566)</f>
        <v>110470.18</v>
      </c>
      <c r="K567" s="61"/>
      <c r="L567" s="37">
        <f>Source!U253</f>
        <v>6.27</v>
      </c>
      <c r="O567" s="23">
        <f>G567</f>
        <v>18021.239999999998</v>
      </c>
      <c r="P567" s="23">
        <f>J567</f>
        <v>110470.18</v>
      </c>
      <c r="Q567" s="23">
        <f>L567</f>
        <v>6.27</v>
      </c>
      <c r="W567">
        <f>IF(Source!BI253&lt;=1,H560+H561+H562+H563+H564, 0)</f>
        <v>0</v>
      </c>
      <c r="X567">
        <f>IF(Source!BI253=2,H560+H561+H562+H563+H564, 0)</f>
        <v>301.17</v>
      </c>
      <c r="Y567">
        <f>IF(Source!BI253=3,H560+H561+H562+H563+H564, 0)</f>
        <v>0</v>
      </c>
      <c r="Z567">
        <f>IF(Source!BI253=4,H560+H561+H562+H563+H564, 0)</f>
        <v>0</v>
      </c>
    </row>
    <row r="568" spans="1:26" ht="14.25" x14ac:dyDescent="0.2">
      <c r="A568" s="42" t="str">
        <f>Source!E255</f>
        <v>51</v>
      </c>
      <c r="B568" s="43" t="str">
        <f>Source!F255</f>
        <v>17-01-005-04</v>
      </c>
      <c r="C568" s="43" t="str">
        <f>Source!G255</f>
        <v>Установка раковин</v>
      </c>
      <c r="D568" s="26" t="str">
        <f>Source!H255</f>
        <v>10 компл</v>
      </c>
      <c r="E568" s="10">
        <f>Source!I255</f>
        <v>0.1</v>
      </c>
      <c r="F568" s="27">
        <f>Source!AL255+Source!AM255+Source!AO255</f>
        <v>153.76999999999998</v>
      </c>
      <c r="G568" s="28"/>
      <c r="H568" s="27"/>
      <c r="I568" s="28" t="str">
        <f>Source!BO255</f>
        <v/>
      </c>
      <c r="J568" s="28"/>
      <c r="K568" s="27"/>
      <c r="L568" s="29"/>
      <c r="S568">
        <f>ROUND((Source!FX255/100)*((ROUND(Source!AF255*Source!I255, 2)+ROUND(Source!AE255*Source!I255, 2))), 2)</f>
        <v>14.19</v>
      </c>
      <c r="T568">
        <f>Source!X255</f>
        <v>86.86</v>
      </c>
      <c r="U568">
        <f>ROUND((Source!FY255/100)*((ROUND(Source!AF255*Source!I255, 2)+ROUND(Source!AE255*Source!I255, 2))), 2)</f>
        <v>8.69</v>
      </c>
      <c r="V568">
        <f>Source!Y255</f>
        <v>53.63</v>
      </c>
    </row>
    <row r="569" spans="1:26" x14ac:dyDescent="0.2">
      <c r="C569" s="22" t="str">
        <f>"Объем: "&amp;Source!I255&amp;"=1/"&amp;"10"</f>
        <v>Объем: 0,1=1/10</v>
      </c>
    </row>
    <row r="570" spans="1:26" ht="14.25" x14ac:dyDescent="0.2">
      <c r="A570" s="42"/>
      <c r="B570" s="43"/>
      <c r="C570" s="43" t="s">
        <v>1302</v>
      </c>
      <c r="D570" s="26"/>
      <c r="E570" s="10"/>
      <c r="F570" s="27">
        <f>Source!AO255</f>
        <v>86.48</v>
      </c>
      <c r="G570" s="28" t="str">
        <f>Source!DG255</f>
        <v>)*1,15)*1,2</v>
      </c>
      <c r="H570" s="27">
        <f>ROUND(Source!AF255*Source!I255, 2)</f>
        <v>11.93</v>
      </c>
      <c r="I570" s="28"/>
      <c r="J570" s="28">
        <f>IF(Source!BA255&lt;&gt; 0, Source!BA255, 1)</f>
        <v>6.13</v>
      </c>
      <c r="K570" s="27">
        <f>Source!S255</f>
        <v>73.16</v>
      </c>
      <c r="L570" s="29"/>
      <c r="R570">
        <f>H570</f>
        <v>11.93</v>
      </c>
    </row>
    <row r="571" spans="1:26" ht="14.25" x14ac:dyDescent="0.2">
      <c r="A571" s="42"/>
      <c r="B571" s="43"/>
      <c r="C571" s="43" t="s">
        <v>334</v>
      </c>
      <c r="D571" s="26"/>
      <c r="E571" s="10"/>
      <c r="F571" s="27">
        <f>Source!AM255</f>
        <v>11.39</v>
      </c>
      <c r="G571" s="28" t="str">
        <f>Source!DE255</f>
        <v>)*1,25)*1,2</v>
      </c>
      <c r="H571" s="27">
        <f>ROUND(Source!AD255*Source!I255, 2)</f>
        <v>1.71</v>
      </c>
      <c r="I571" s="28"/>
      <c r="J571" s="28">
        <f>IF(Source!BB255&lt;&gt; 0, Source!BB255, 1)</f>
        <v>6.13</v>
      </c>
      <c r="K571" s="27">
        <f>Source!Q255</f>
        <v>10.48</v>
      </c>
      <c r="L571" s="29"/>
    </row>
    <row r="572" spans="1:26" ht="14.25" x14ac:dyDescent="0.2">
      <c r="A572" s="42"/>
      <c r="B572" s="43"/>
      <c r="C572" s="43" t="s">
        <v>1303</v>
      </c>
      <c r="D572" s="26"/>
      <c r="E572" s="10"/>
      <c r="F572" s="27">
        <f>Source!AN255</f>
        <v>2.57</v>
      </c>
      <c r="G572" s="28" t="str">
        <f>Source!DF255</f>
        <v>)*1,25)*1,2</v>
      </c>
      <c r="H572" s="30">
        <f>ROUND(Source!AE255*Source!I255, 2)</f>
        <v>0.39</v>
      </c>
      <c r="I572" s="28"/>
      <c r="J572" s="28">
        <f>IF(Source!BS255&lt;&gt; 0, Source!BS255, 1)</f>
        <v>6.13</v>
      </c>
      <c r="K572" s="30">
        <f>Source!R255</f>
        <v>2.37</v>
      </c>
      <c r="L572" s="29"/>
      <c r="R572">
        <f>H572</f>
        <v>0.39</v>
      </c>
    </row>
    <row r="573" spans="1:26" ht="14.25" x14ac:dyDescent="0.2">
      <c r="A573" s="42"/>
      <c r="B573" s="43"/>
      <c r="C573" s="43" t="s">
        <v>1309</v>
      </c>
      <c r="D573" s="26"/>
      <c r="E573" s="10"/>
      <c r="F573" s="27">
        <f>Source!AL255</f>
        <v>55.9</v>
      </c>
      <c r="G573" s="28" t="str">
        <f>Source!DD255</f>
        <v/>
      </c>
      <c r="H573" s="27">
        <f>ROUND(Source!AC255*Source!I255, 2)</f>
        <v>5.59</v>
      </c>
      <c r="I573" s="28"/>
      <c r="J573" s="28">
        <f>IF(Source!BC255&lt;&gt; 0, Source!BC255, 1)</f>
        <v>6.13</v>
      </c>
      <c r="K573" s="27">
        <f>Source!P255</f>
        <v>34.270000000000003</v>
      </c>
      <c r="L573" s="29"/>
    </row>
    <row r="574" spans="1:26" ht="14.25" x14ac:dyDescent="0.2">
      <c r="A574" s="42"/>
      <c r="B574" s="43"/>
      <c r="C574" s="43" t="s">
        <v>1304</v>
      </c>
      <c r="D574" s="26" t="s">
        <v>1305</v>
      </c>
      <c r="E574" s="10">
        <f>Source!BZ255</f>
        <v>128</v>
      </c>
      <c r="F574" s="50" t="str">
        <f>CONCATENATE(" )", Source!DL255, Source!FT255, "=", Source!FX255)</f>
        <v xml:space="preserve"> )*0,9=115,2</v>
      </c>
      <c r="G574" s="62"/>
      <c r="H574" s="27">
        <f>SUM(S568:S581)</f>
        <v>14.19</v>
      </c>
      <c r="I574" s="31"/>
      <c r="J574" s="25">
        <f>Source!AT255</f>
        <v>115</v>
      </c>
      <c r="K574" s="27">
        <f>SUM(T568:T581)</f>
        <v>86.86</v>
      </c>
      <c r="L574" s="29"/>
    </row>
    <row r="575" spans="1:26" ht="14.25" x14ac:dyDescent="0.2">
      <c r="A575" s="42"/>
      <c r="B575" s="43"/>
      <c r="C575" s="43" t="s">
        <v>1306</v>
      </c>
      <c r="D575" s="26" t="s">
        <v>1305</v>
      </c>
      <c r="E575" s="10">
        <f>Source!CA255</f>
        <v>83</v>
      </c>
      <c r="F575" s="50" t="str">
        <f>CONCATENATE(" )", Source!DM255, Source!FU255, "=", Source!FY255)</f>
        <v xml:space="preserve"> )*0,85=70,55</v>
      </c>
      <c r="G575" s="62"/>
      <c r="H575" s="27">
        <f>SUM(U568:U581)</f>
        <v>8.69</v>
      </c>
      <c r="I575" s="31"/>
      <c r="J575" s="25">
        <f>Source!AU255</f>
        <v>71</v>
      </c>
      <c r="K575" s="27">
        <f>SUM(V568:V581)</f>
        <v>53.63</v>
      </c>
      <c r="L575" s="29"/>
    </row>
    <row r="576" spans="1:26" ht="14.25" x14ac:dyDescent="0.2">
      <c r="A576" s="42"/>
      <c r="B576" s="43"/>
      <c r="C576" s="43" t="s">
        <v>1307</v>
      </c>
      <c r="D576" s="26" t="s">
        <v>1308</v>
      </c>
      <c r="E576" s="10">
        <f>Source!AQ255</f>
        <v>8.99</v>
      </c>
      <c r="F576" s="27"/>
      <c r="G576" s="28" t="str">
        <f>Source!DI255</f>
        <v>)*1,15)*1,2</v>
      </c>
      <c r="H576" s="27"/>
      <c r="I576" s="28"/>
      <c r="J576" s="28"/>
      <c r="K576" s="27"/>
      <c r="L576" s="38">
        <f>Source!U255</f>
        <v>1.2406200000000001</v>
      </c>
    </row>
    <row r="577" spans="1:26" ht="57" x14ac:dyDescent="0.2">
      <c r="A577" s="42" t="str">
        <f>Source!E256</f>
        <v>51,1</v>
      </c>
      <c r="B577" s="43" t="str">
        <f>Source!F256</f>
        <v>18.2.01.04-0020</v>
      </c>
      <c r="C577" s="43" t="str">
        <f>Source!G256</f>
        <v>Раковины лабораторные полуфарфоровые и фарфоровые марка Р050Х040ФССБ20, размер 500х400х955 мм прим.</v>
      </c>
      <c r="D577" s="26" t="str">
        <f>Source!H256</f>
        <v>шт.</v>
      </c>
      <c r="E577" s="10">
        <f>Source!I256</f>
        <v>1</v>
      </c>
      <c r="F577" s="27">
        <f>Source!AL256+Source!AM256+Source!AO256</f>
        <v>793.1</v>
      </c>
      <c r="G577" s="39" t="s">
        <v>3</v>
      </c>
      <c r="H577" s="27">
        <f>ROUND(Source!AC256*Source!I256, 2)+ROUND(Source!AD256*Source!I256, 2)+ROUND(Source!AF256*Source!I256, 2)</f>
        <v>793.1</v>
      </c>
      <c r="I577" s="28"/>
      <c r="J577" s="28">
        <f>IF(Source!BC256&lt;&gt; 0, Source!BC256, 1)</f>
        <v>6.13</v>
      </c>
      <c r="K577" s="27">
        <f>Source!O256</f>
        <v>4861.7</v>
      </c>
      <c r="L577" s="29"/>
      <c r="S577">
        <f>ROUND((Source!FX256/100)*((ROUND(Source!AF256*Source!I256, 2)+ROUND(Source!AE256*Source!I256, 2))), 2)</f>
        <v>0</v>
      </c>
      <c r="T577">
        <f>Source!X256</f>
        <v>0</v>
      </c>
      <c r="U577">
        <f>ROUND((Source!FY256/100)*((ROUND(Source!AF256*Source!I256, 2)+ROUND(Source!AE256*Source!I256, 2))), 2)</f>
        <v>0</v>
      </c>
      <c r="V577">
        <f>Source!Y256</f>
        <v>0</v>
      </c>
      <c r="W577">
        <f>IF(Source!BI256&lt;=1,H577, 0)</f>
        <v>793.1</v>
      </c>
      <c r="X577">
        <f>IF(Source!BI256=2,H577, 0)</f>
        <v>0</v>
      </c>
      <c r="Y577">
        <f>IF(Source!BI256=3,H577, 0)</f>
        <v>0</v>
      </c>
      <c r="Z577">
        <f>IF(Source!BI256=4,H577, 0)</f>
        <v>0</v>
      </c>
    </row>
    <row r="578" spans="1:26" ht="28.5" x14ac:dyDescent="0.2">
      <c r="A578" s="42" t="str">
        <f>Source!E257</f>
        <v>51,2</v>
      </c>
      <c r="B578" s="43" t="str">
        <f>Source!F257</f>
        <v>01.7.15.07-0009</v>
      </c>
      <c r="C578" s="43" t="str">
        <f>Source!G257</f>
        <v>Дюбели пластмассовые с шурупами 8х60 мм</v>
      </c>
      <c r="D578" s="26" t="str">
        <f>Source!H257</f>
        <v>100 шт.</v>
      </c>
      <c r="E578" s="10">
        <f>Source!I257</f>
        <v>0.04</v>
      </c>
      <c r="F578" s="27">
        <f>Source!AL257+Source!AM257+Source!AO257</f>
        <v>29.6</v>
      </c>
      <c r="G578" s="39" t="s">
        <v>3</v>
      </c>
      <c r="H578" s="27">
        <f>ROUND(Source!AC257*Source!I257, 2)+ROUND(Source!AD257*Source!I257, 2)+ROUND(Source!AF257*Source!I257, 2)</f>
        <v>1.18</v>
      </c>
      <c r="I578" s="28"/>
      <c r="J578" s="28">
        <f>IF(Source!BC257&lt;&gt; 0, Source!BC257, 1)</f>
        <v>6.13</v>
      </c>
      <c r="K578" s="27">
        <f>Source!O257</f>
        <v>7.26</v>
      </c>
      <c r="L578" s="29"/>
      <c r="S578">
        <f>ROUND((Source!FX257/100)*((ROUND(Source!AF257*Source!I257, 2)+ROUND(Source!AE257*Source!I257, 2))), 2)</f>
        <v>0</v>
      </c>
      <c r="T578">
        <f>Source!X257</f>
        <v>0</v>
      </c>
      <c r="U578">
        <f>ROUND((Source!FY257/100)*((ROUND(Source!AF257*Source!I257, 2)+ROUND(Source!AE257*Source!I257, 2))), 2)</f>
        <v>0</v>
      </c>
      <c r="V578">
        <f>Source!Y257</f>
        <v>0</v>
      </c>
      <c r="W578">
        <f>IF(Source!BI257&lt;=1,H578, 0)</f>
        <v>1.18</v>
      </c>
      <c r="X578">
        <f>IF(Source!BI257=2,H578, 0)</f>
        <v>0</v>
      </c>
      <c r="Y578">
        <f>IF(Source!BI257=3,H578, 0)</f>
        <v>0</v>
      </c>
      <c r="Z578">
        <f>IF(Source!BI257=4,H578, 0)</f>
        <v>0</v>
      </c>
    </row>
    <row r="579" spans="1:26" ht="14.25" x14ac:dyDescent="0.2">
      <c r="A579" s="42" t="str">
        <f>Source!E258</f>
        <v>51,3</v>
      </c>
      <c r="B579" s="43" t="str">
        <f>Source!F258</f>
        <v>01.7.15.07</v>
      </c>
      <c r="C579" s="43" t="str">
        <f>Source!G258</f>
        <v>Дюбели распорные полиэтиленовые</v>
      </c>
      <c r="D579" s="26" t="str">
        <f>Source!H258</f>
        <v>10 шт.</v>
      </c>
      <c r="E579" s="10">
        <f>Source!I258</f>
        <v>0.4</v>
      </c>
      <c r="F579" s="27">
        <f>Source!AL258+Source!AM258+Source!AO258</f>
        <v>0</v>
      </c>
      <c r="G579" s="39" t="s">
        <v>3</v>
      </c>
      <c r="H579" s="27">
        <f>ROUND(Source!AC258*Source!I258, 2)+ROUND(Source!AD258*Source!I258, 2)+ROUND(Source!AF258*Source!I258, 2)</f>
        <v>0</v>
      </c>
      <c r="I579" s="28"/>
      <c r="J579" s="28">
        <f>IF(Source!BC258&lt;&gt; 0, Source!BC258, 1)</f>
        <v>6.13</v>
      </c>
      <c r="K579" s="27">
        <f>Source!O258</f>
        <v>0</v>
      </c>
      <c r="L579" s="29"/>
      <c r="S579">
        <f>ROUND((Source!FX258/100)*((ROUND(Source!AF258*Source!I258, 2)+ROUND(Source!AE258*Source!I258, 2))), 2)</f>
        <v>0</v>
      </c>
      <c r="T579">
        <f>Source!X258</f>
        <v>0</v>
      </c>
      <c r="U579">
        <f>ROUND((Source!FY258/100)*((ROUND(Source!AF258*Source!I258, 2)+ROUND(Source!AE258*Source!I258, 2))), 2)</f>
        <v>0</v>
      </c>
      <c r="V579">
        <f>Source!Y258</f>
        <v>0</v>
      </c>
      <c r="W579">
        <f>IF(Source!BI258&lt;=1,H579, 0)</f>
        <v>0</v>
      </c>
      <c r="X579">
        <f>IF(Source!BI258=2,H579, 0)</f>
        <v>0</v>
      </c>
      <c r="Y579">
        <f>IF(Source!BI258=3,H579, 0)</f>
        <v>0</v>
      </c>
      <c r="Z579">
        <f>IF(Source!BI258=4,H579, 0)</f>
        <v>0</v>
      </c>
    </row>
    <row r="580" spans="1:26" ht="14.25" x14ac:dyDescent="0.2">
      <c r="A580" s="42" t="str">
        <f>Source!E259</f>
        <v>51,4</v>
      </c>
      <c r="B580" s="43" t="str">
        <f>Source!F259</f>
        <v>01.7.15.14</v>
      </c>
      <c r="C580" s="43" t="str">
        <f>Source!G259</f>
        <v>Шурупы строительные</v>
      </c>
      <c r="D580" s="26" t="str">
        <f>Source!H259</f>
        <v>т</v>
      </c>
      <c r="E580" s="10">
        <f>Source!I259</f>
        <v>6.9999999999999994E-5</v>
      </c>
      <c r="F580" s="27">
        <f>Source!AL259+Source!AM259+Source!AO259</f>
        <v>0</v>
      </c>
      <c r="G580" s="39" t="s">
        <v>3</v>
      </c>
      <c r="H580" s="27">
        <f>ROUND(Source!AC259*Source!I259, 2)+ROUND(Source!AD259*Source!I259, 2)+ROUND(Source!AF259*Source!I259, 2)</f>
        <v>0</v>
      </c>
      <c r="I580" s="28"/>
      <c r="J580" s="28">
        <f>IF(Source!BC259&lt;&gt; 0, Source!BC259, 1)</f>
        <v>6.13</v>
      </c>
      <c r="K580" s="27">
        <f>Source!O259</f>
        <v>0</v>
      </c>
      <c r="L580" s="29"/>
      <c r="S580">
        <f>ROUND((Source!FX259/100)*((ROUND(Source!AF259*Source!I259, 2)+ROUND(Source!AE259*Source!I259, 2))), 2)</f>
        <v>0</v>
      </c>
      <c r="T580">
        <f>Source!X259</f>
        <v>0</v>
      </c>
      <c r="U580">
        <f>ROUND((Source!FY259/100)*((ROUND(Source!AF259*Source!I259, 2)+ROUND(Source!AE259*Source!I259, 2))), 2)</f>
        <v>0</v>
      </c>
      <c r="V580">
        <f>Source!Y259</f>
        <v>0</v>
      </c>
      <c r="W580">
        <f>IF(Source!BI259&lt;=1,H580, 0)</f>
        <v>0</v>
      </c>
      <c r="X580">
        <f>IF(Source!BI259=2,H580, 0)</f>
        <v>0</v>
      </c>
      <c r="Y580">
        <f>IF(Source!BI259=3,H580, 0)</f>
        <v>0</v>
      </c>
      <c r="Z580">
        <f>IF(Source!BI259=4,H580, 0)</f>
        <v>0</v>
      </c>
    </row>
    <row r="581" spans="1:26" ht="14.25" x14ac:dyDescent="0.2">
      <c r="A581" s="44" t="str">
        <f>Source!E260</f>
        <v>51,5</v>
      </c>
      <c r="B581" s="45" t="str">
        <f>Source!F260</f>
        <v>18.2.06.12</v>
      </c>
      <c r="C581" s="45" t="str">
        <f>Source!G260</f>
        <v>Приборы санитарно-технические</v>
      </c>
      <c r="D581" s="32" t="str">
        <f>Source!H260</f>
        <v>компл.</v>
      </c>
      <c r="E581" s="33">
        <f>Source!I260</f>
        <v>1</v>
      </c>
      <c r="F581" s="34">
        <f>Source!AL260+Source!AM260+Source!AO260</f>
        <v>0</v>
      </c>
      <c r="G581" s="40" t="s">
        <v>3</v>
      </c>
      <c r="H581" s="34">
        <f>ROUND(Source!AC260*Source!I260, 2)+ROUND(Source!AD260*Source!I260, 2)+ROUND(Source!AF260*Source!I260, 2)</f>
        <v>0</v>
      </c>
      <c r="I581" s="35"/>
      <c r="J581" s="35">
        <f>IF(Source!BC260&lt;&gt; 0, Source!BC260, 1)</f>
        <v>6.13</v>
      </c>
      <c r="K581" s="34">
        <f>Source!O260</f>
        <v>0</v>
      </c>
      <c r="L581" s="41"/>
      <c r="S581">
        <f>ROUND((Source!FX260/100)*((ROUND(Source!AF260*Source!I260, 2)+ROUND(Source!AE260*Source!I260, 2))), 2)</f>
        <v>0</v>
      </c>
      <c r="T581">
        <f>Source!X260</f>
        <v>0</v>
      </c>
      <c r="U581">
        <f>ROUND((Source!FY260/100)*((ROUND(Source!AF260*Source!I260, 2)+ROUND(Source!AE260*Source!I260, 2))), 2)</f>
        <v>0</v>
      </c>
      <c r="V581">
        <f>Source!Y260</f>
        <v>0</v>
      </c>
      <c r="W581">
        <f>IF(Source!BI260&lt;=1,H581, 0)</f>
        <v>0</v>
      </c>
      <c r="X581">
        <f>IF(Source!BI260=2,H581, 0)</f>
        <v>0</v>
      </c>
      <c r="Y581">
        <f>IF(Source!BI260=3,H581, 0)</f>
        <v>0</v>
      </c>
      <c r="Z581">
        <f>IF(Source!BI260=4,H581, 0)</f>
        <v>0</v>
      </c>
    </row>
    <row r="582" spans="1:26" ht="15" x14ac:dyDescent="0.25">
      <c r="G582" s="61">
        <f>H570+H571+H573+H574+H575+SUM(H577:H581)</f>
        <v>836.39</v>
      </c>
      <c r="H582" s="61"/>
      <c r="J582" s="61">
        <f>K570+K571+K573+K574+K575+SUM(K577:K581)</f>
        <v>5127.3599999999997</v>
      </c>
      <c r="K582" s="61"/>
      <c r="L582" s="37">
        <f>Source!U255</f>
        <v>1.2406200000000001</v>
      </c>
      <c r="O582" s="23">
        <f>G582</f>
        <v>836.39</v>
      </c>
      <c r="P582" s="23">
        <f>J582</f>
        <v>5127.3599999999997</v>
      </c>
      <c r="Q582" s="23">
        <f>L582</f>
        <v>1.2406200000000001</v>
      </c>
      <c r="W582">
        <f>IF(Source!BI255&lt;=1,H570+H571+H573+H574+H575, 0)</f>
        <v>42.11</v>
      </c>
      <c r="X582">
        <f>IF(Source!BI255=2,H570+H571+H573+H574+H575, 0)</f>
        <v>0</v>
      </c>
      <c r="Y582">
        <f>IF(Source!BI255=3,H570+H571+H573+H574+H575, 0)</f>
        <v>0</v>
      </c>
      <c r="Z582">
        <f>IF(Source!BI255=4,H570+H571+H573+H574+H575, 0)</f>
        <v>0</v>
      </c>
    </row>
    <row r="583" spans="1:26" ht="14.25" x14ac:dyDescent="0.2">
      <c r="A583" s="42" t="str">
        <f>Source!E261</f>
        <v>52</v>
      </c>
      <c r="B583" s="43" t="str">
        <f>Source!F261</f>
        <v>17-01-001-23</v>
      </c>
      <c r="C583" s="43" t="str">
        <f>Source!G261</f>
        <v>Установка трапов диаметром 100 мм</v>
      </c>
      <c r="D583" s="26" t="str">
        <f>Source!H261</f>
        <v>10 компл</v>
      </c>
      <c r="E583" s="10">
        <f>Source!I261</f>
        <v>0.2</v>
      </c>
      <c r="F583" s="27">
        <f>Source!AL261+Source!AM261+Source!AO261</f>
        <v>141.9</v>
      </c>
      <c r="G583" s="28"/>
      <c r="H583" s="27"/>
      <c r="I583" s="28" t="str">
        <f>Source!BO261</f>
        <v/>
      </c>
      <c r="J583" s="28"/>
      <c r="K583" s="27"/>
      <c r="L583" s="29"/>
      <c r="S583">
        <f>ROUND((Source!FX261/100)*((ROUND(Source!AF261*Source!I261, 2)+ROUND(Source!AE261*Source!I261, 2))), 2)</f>
        <v>28.06</v>
      </c>
      <c r="T583">
        <f>Source!X261</f>
        <v>171.66</v>
      </c>
      <c r="U583">
        <f>ROUND((Source!FY261/100)*((ROUND(Source!AF261*Source!I261, 2)+ROUND(Source!AE261*Source!I261, 2))), 2)</f>
        <v>17.190000000000001</v>
      </c>
      <c r="V583">
        <f>Source!Y261</f>
        <v>105.98</v>
      </c>
    </row>
    <row r="584" spans="1:26" x14ac:dyDescent="0.2">
      <c r="C584" s="22" t="str">
        <f>"Объем: "&amp;Source!I261&amp;"=2/"&amp;"10"</f>
        <v>Объем: 0,2=2/10</v>
      </c>
    </row>
    <row r="585" spans="1:26" ht="14.25" x14ac:dyDescent="0.2">
      <c r="A585" s="42"/>
      <c r="B585" s="43"/>
      <c r="C585" s="43" t="s">
        <v>1302</v>
      </c>
      <c r="D585" s="26"/>
      <c r="E585" s="10"/>
      <c r="F585" s="27">
        <f>Source!AO261</f>
        <v>84.37</v>
      </c>
      <c r="G585" s="28" t="str">
        <f>Source!DG261</f>
        <v>)*1,15)*1,2</v>
      </c>
      <c r="H585" s="27">
        <f>ROUND(Source!AF261*Source!I261, 2)</f>
        <v>23.29</v>
      </c>
      <c r="I585" s="28"/>
      <c r="J585" s="28">
        <f>IF(Source!BA261&lt;&gt; 0, Source!BA261, 1)</f>
        <v>6.13</v>
      </c>
      <c r="K585" s="27">
        <f>Source!S261</f>
        <v>142.74</v>
      </c>
      <c r="L585" s="29"/>
      <c r="R585">
        <f>H585</f>
        <v>23.29</v>
      </c>
    </row>
    <row r="586" spans="1:26" ht="14.25" x14ac:dyDescent="0.2">
      <c r="A586" s="42"/>
      <c r="B586" s="43"/>
      <c r="C586" s="43" t="s">
        <v>334</v>
      </c>
      <c r="D586" s="26"/>
      <c r="E586" s="10"/>
      <c r="F586" s="27">
        <f>Source!AM261</f>
        <v>15.61</v>
      </c>
      <c r="G586" s="28" t="str">
        <f>Source!DE261</f>
        <v>)*1,25)*1,2</v>
      </c>
      <c r="H586" s="27">
        <f>ROUND(Source!AD261*Source!I261, 2)</f>
        <v>4.68</v>
      </c>
      <c r="I586" s="28"/>
      <c r="J586" s="28">
        <f>IF(Source!BB261&lt;&gt; 0, Source!BB261, 1)</f>
        <v>6.13</v>
      </c>
      <c r="K586" s="27">
        <f>Source!Q261</f>
        <v>28.71</v>
      </c>
      <c r="L586" s="29"/>
    </row>
    <row r="587" spans="1:26" ht="14.25" x14ac:dyDescent="0.2">
      <c r="A587" s="42"/>
      <c r="B587" s="43"/>
      <c r="C587" s="43" t="s">
        <v>1303</v>
      </c>
      <c r="D587" s="26"/>
      <c r="E587" s="10"/>
      <c r="F587" s="27">
        <f>Source!AN261</f>
        <v>3.55</v>
      </c>
      <c r="G587" s="28" t="str">
        <f>Source!DF261</f>
        <v>)*1,25)*1,2</v>
      </c>
      <c r="H587" s="30">
        <f>ROUND(Source!AE261*Source!I261, 2)</f>
        <v>1.07</v>
      </c>
      <c r="I587" s="28"/>
      <c r="J587" s="28">
        <f>IF(Source!BS261&lt;&gt; 0, Source!BS261, 1)</f>
        <v>6.13</v>
      </c>
      <c r="K587" s="30">
        <f>Source!R261</f>
        <v>6.53</v>
      </c>
      <c r="L587" s="29"/>
      <c r="R587">
        <f>H587</f>
        <v>1.07</v>
      </c>
    </row>
    <row r="588" spans="1:26" ht="14.25" x14ac:dyDescent="0.2">
      <c r="A588" s="42"/>
      <c r="B588" s="43"/>
      <c r="C588" s="43" t="s">
        <v>1309</v>
      </c>
      <c r="D588" s="26"/>
      <c r="E588" s="10"/>
      <c r="F588" s="27">
        <f>Source!AL261</f>
        <v>41.92</v>
      </c>
      <c r="G588" s="28" t="str">
        <f>Source!DD261</f>
        <v/>
      </c>
      <c r="H588" s="27">
        <f>ROUND(Source!AC261*Source!I261, 2)</f>
        <v>8.3800000000000008</v>
      </c>
      <c r="I588" s="28"/>
      <c r="J588" s="28">
        <f>IF(Source!BC261&lt;&gt; 0, Source!BC261, 1)</f>
        <v>6.13</v>
      </c>
      <c r="K588" s="27">
        <f>Source!P261</f>
        <v>51.39</v>
      </c>
      <c r="L588" s="29"/>
    </row>
    <row r="589" spans="1:26" ht="14.25" x14ac:dyDescent="0.2">
      <c r="A589" s="42"/>
      <c r="B589" s="43"/>
      <c r="C589" s="43" t="s">
        <v>1304</v>
      </c>
      <c r="D589" s="26" t="s">
        <v>1305</v>
      </c>
      <c r="E589" s="10">
        <f>Source!BZ261</f>
        <v>128</v>
      </c>
      <c r="F589" s="50" t="str">
        <f>CONCATENATE(" )", Source!DL261, Source!FT261, "=", Source!FX261)</f>
        <v xml:space="preserve"> )*0,9=115,2</v>
      </c>
      <c r="G589" s="62"/>
      <c r="H589" s="27">
        <f>SUM(S583:S593)</f>
        <v>28.06</v>
      </c>
      <c r="I589" s="31"/>
      <c r="J589" s="25">
        <f>Source!AT261</f>
        <v>115</v>
      </c>
      <c r="K589" s="27">
        <f>SUM(T583:T593)</f>
        <v>171.66</v>
      </c>
      <c r="L589" s="29"/>
    </row>
    <row r="590" spans="1:26" ht="14.25" x14ac:dyDescent="0.2">
      <c r="A590" s="42"/>
      <c r="B590" s="43"/>
      <c r="C590" s="43" t="s">
        <v>1306</v>
      </c>
      <c r="D590" s="26" t="s">
        <v>1305</v>
      </c>
      <c r="E590" s="10">
        <f>Source!CA261</f>
        <v>83</v>
      </c>
      <c r="F590" s="50" t="str">
        <f>CONCATENATE(" )", Source!DM261, Source!FU261, "=", Source!FY261)</f>
        <v xml:space="preserve"> )*0,85=70,55</v>
      </c>
      <c r="G590" s="62"/>
      <c r="H590" s="27">
        <f>SUM(U583:U593)</f>
        <v>17.190000000000001</v>
      </c>
      <c r="I590" s="31"/>
      <c r="J590" s="25">
        <f>Source!AU261</f>
        <v>71</v>
      </c>
      <c r="K590" s="27">
        <f>SUM(V583:V593)</f>
        <v>105.98</v>
      </c>
      <c r="L590" s="29"/>
    </row>
    <row r="591" spans="1:26" ht="14.25" x14ac:dyDescent="0.2">
      <c r="A591" s="42"/>
      <c r="B591" s="43"/>
      <c r="C591" s="43" t="s">
        <v>1307</v>
      </c>
      <c r="D591" s="26" t="s">
        <v>1308</v>
      </c>
      <c r="E591" s="10">
        <f>Source!AQ261</f>
        <v>8.77</v>
      </c>
      <c r="F591" s="27"/>
      <c r="G591" s="28" t="str">
        <f>Source!DI261</f>
        <v>)*1,15)*1,2</v>
      </c>
      <c r="H591" s="27"/>
      <c r="I591" s="28"/>
      <c r="J591" s="28"/>
      <c r="K591" s="27"/>
      <c r="L591" s="38">
        <f>Source!U261</f>
        <v>2.4205199999999998</v>
      </c>
    </row>
    <row r="592" spans="1:26" ht="71.25" x14ac:dyDescent="0.2">
      <c r="A592" s="42" t="str">
        <f>Source!E262</f>
        <v>52,1</v>
      </c>
      <c r="B592" s="43" t="str">
        <f>Source!F262</f>
        <v>18.2.06.10-0001</v>
      </c>
      <c r="C592" s="43" t="str">
        <f>Source!G262</f>
        <v>Трап канализационный  с горизонтальным выпуском  диам.100мм и решеткой из нержавеющей стали в подрамнике согласно тех.заданию.</v>
      </c>
      <c r="D592" s="26" t="str">
        <f>Source!H262</f>
        <v>шт.</v>
      </c>
      <c r="E592" s="10">
        <f>Source!I262</f>
        <v>2</v>
      </c>
      <c r="F592" s="27">
        <f>Source!AL262+Source!AM262+Source!AO262</f>
        <v>821.32</v>
      </c>
      <c r="G592" s="39" t="s">
        <v>3</v>
      </c>
      <c r="H592" s="27">
        <f>ROUND(Source!AC262*Source!I262, 2)+ROUND(Source!AD262*Source!I262, 2)+ROUND(Source!AF262*Source!I262, 2)</f>
        <v>1642.64</v>
      </c>
      <c r="I592" s="28"/>
      <c r="J592" s="28">
        <f>IF(Source!BC262&lt;&gt; 0, Source!BC262, 1)</f>
        <v>6.13</v>
      </c>
      <c r="K592" s="27">
        <f>Source!O262</f>
        <v>10069.379999999999</v>
      </c>
      <c r="L592" s="29"/>
      <c r="S592">
        <f>ROUND((Source!FX262/100)*((ROUND(Source!AF262*Source!I262, 2)+ROUND(Source!AE262*Source!I262, 2))), 2)</f>
        <v>0</v>
      </c>
      <c r="T592">
        <f>Source!X262</f>
        <v>0</v>
      </c>
      <c r="U592">
        <f>ROUND((Source!FY262/100)*((ROUND(Source!AF262*Source!I262, 2)+ROUND(Source!AE262*Source!I262, 2))), 2)</f>
        <v>0</v>
      </c>
      <c r="V592">
        <f>Source!Y262</f>
        <v>0</v>
      </c>
      <c r="W592">
        <f>IF(Source!BI262&lt;=1,H592, 0)</f>
        <v>1642.64</v>
      </c>
      <c r="X592">
        <f>IF(Source!BI262=2,H592, 0)</f>
        <v>0</v>
      </c>
      <c r="Y592">
        <f>IF(Source!BI262=3,H592, 0)</f>
        <v>0</v>
      </c>
      <c r="Z592">
        <f>IF(Source!BI262=4,H592, 0)</f>
        <v>0</v>
      </c>
    </row>
    <row r="593" spans="1:26" ht="14.25" x14ac:dyDescent="0.2">
      <c r="A593" s="44" t="str">
        <f>Source!E263</f>
        <v>52,2</v>
      </c>
      <c r="B593" s="45" t="str">
        <f>Source!F263</f>
        <v>18.2.06.12</v>
      </c>
      <c r="C593" s="45" t="str">
        <f>Source!G263</f>
        <v>Приборы санитарно-технические</v>
      </c>
      <c r="D593" s="32" t="str">
        <f>Source!H263</f>
        <v>компл.</v>
      </c>
      <c r="E593" s="33">
        <f>Source!I263</f>
        <v>2</v>
      </c>
      <c r="F593" s="34">
        <f>Source!AL263+Source!AM263+Source!AO263</f>
        <v>0</v>
      </c>
      <c r="G593" s="40" t="s">
        <v>3</v>
      </c>
      <c r="H593" s="34">
        <f>ROUND(Source!AC263*Source!I263, 2)+ROUND(Source!AD263*Source!I263, 2)+ROUND(Source!AF263*Source!I263, 2)</f>
        <v>0</v>
      </c>
      <c r="I593" s="35"/>
      <c r="J593" s="35">
        <f>IF(Source!BC263&lt;&gt; 0, Source!BC263, 1)</f>
        <v>6.13</v>
      </c>
      <c r="K593" s="34">
        <f>Source!O263</f>
        <v>0</v>
      </c>
      <c r="L593" s="41"/>
      <c r="S593">
        <f>ROUND((Source!FX263/100)*((ROUND(Source!AF263*Source!I263, 2)+ROUND(Source!AE263*Source!I263, 2))), 2)</f>
        <v>0</v>
      </c>
      <c r="T593">
        <f>Source!X263</f>
        <v>0</v>
      </c>
      <c r="U593">
        <f>ROUND((Source!FY263/100)*((ROUND(Source!AF263*Source!I263, 2)+ROUND(Source!AE263*Source!I263, 2))), 2)</f>
        <v>0</v>
      </c>
      <c r="V593">
        <f>Source!Y263</f>
        <v>0</v>
      </c>
      <c r="W593">
        <f>IF(Source!BI263&lt;=1,H593, 0)</f>
        <v>0</v>
      </c>
      <c r="X593">
        <f>IF(Source!BI263=2,H593, 0)</f>
        <v>0</v>
      </c>
      <c r="Y593">
        <f>IF(Source!BI263=3,H593, 0)</f>
        <v>0</v>
      </c>
      <c r="Z593">
        <f>IF(Source!BI263=4,H593, 0)</f>
        <v>0</v>
      </c>
    </row>
    <row r="594" spans="1:26" ht="15" x14ac:dyDescent="0.25">
      <c r="G594" s="61">
        <f>H585+H586+H588+H589+H590+SUM(H592:H593)</f>
        <v>1724.24</v>
      </c>
      <c r="H594" s="61"/>
      <c r="J594" s="61">
        <f>K585+K586+K588+K589+K590+SUM(K592:K593)</f>
        <v>10569.859999999999</v>
      </c>
      <c r="K594" s="61"/>
      <c r="L594" s="37">
        <f>Source!U261</f>
        <v>2.4205199999999998</v>
      </c>
      <c r="O594" s="23">
        <f>G594</f>
        <v>1724.24</v>
      </c>
      <c r="P594" s="23">
        <f>J594</f>
        <v>10569.859999999999</v>
      </c>
      <c r="Q594" s="23">
        <f>L594</f>
        <v>2.4205199999999998</v>
      </c>
      <c r="W594">
        <f>IF(Source!BI261&lt;=1,H585+H586+H588+H589+H590, 0)</f>
        <v>81.599999999999994</v>
      </c>
      <c r="X594">
        <f>IF(Source!BI261=2,H585+H586+H588+H589+H590, 0)</f>
        <v>0</v>
      </c>
      <c r="Y594">
        <f>IF(Source!BI261=3,H585+H586+H588+H589+H590, 0)</f>
        <v>0</v>
      </c>
      <c r="Z594">
        <f>IF(Source!BI261=4,H585+H586+H588+H589+H590, 0)</f>
        <v>0</v>
      </c>
    </row>
    <row r="595" spans="1:26" ht="28.5" x14ac:dyDescent="0.2">
      <c r="A595" s="42" t="str">
        <f>Source!E264</f>
        <v>53</v>
      </c>
      <c r="B595" s="43" t="str">
        <f>Source!F264</f>
        <v>17-01-003-01</v>
      </c>
      <c r="C595" s="43" t="str">
        <f>Source!G264</f>
        <v>Установка унитазов с бачком непосредственно присоединенным</v>
      </c>
      <c r="D595" s="26" t="str">
        <f>Source!H264</f>
        <v>10 компл</v>
      </c>
      <c r="E595" s="10">
        <f>Source!I264</f>
        <v>0.1</v>
      </c>
      <c r="F595" s="27">
        <f>Source!AL264+Source!AM264+Source!AO264</f>
        <v>461.63</v>
      </c>
      <c r="G595" s="28"/>
      <c r="H595" s="27"/>
      <c r="I595" s="28" t="str">
        <f>Source!BO264</f>
        <v/>
      </c>
      <c r="J595" s="28"/>
      <c r="K595" s="27"/>
      <c r="L595" s="29"/>
      <c r="S595">
        <f>ROUND((Source!FX264/100)*((ROUND(Source!AF264*Source!I264, 2)+ROUND(Source!AE264*Source!I264, 2))), 2)</f>
        <v>38.79</v>
      </c>
      <c r="T595">
        <f>Source!X264</f>
        <v>237.31</v>
      </c>
      <c r="U595">
        <f>ROUND((Source!FY264/100)*((ROUND(Source!AF264*Source!I264, 2)+ROUND(Source!AE264*Source!I264, 2))), 2)</f>
        <v>23.75</v>
      </c>
      <c r="V595">
        <f>Source!Y264</f>
        <v>146.52000000000001</v>
      </c>
    </row>
    <row r="596" spans="1:26" x14ac:dyDescent="0.2">
      <c r="C596" s="22" t="str">
        <f>"Объем: "&amp;Source!I264&amp;"=1/"&amp;"10"</f>
        <v>Объем: 0,1=1/10</v>
      </c>
    </row>
    <row r="597" spans="1:26" ht="14.25" x14ac:dyDescent="0.2">
      <c r="A597" s="42"/>
      <c r="B597" s="43"/>
      <c r="C597" s="43" t="s">
        <v>1302</v>
      </c>
      <c r="D597" s="26"/>
      <c r="E597" s="10"/>
      <c r="F597" s="27">
        <f>Source!AO264</f>
        <v>234.33</v>
      </c>
      <c r="G597" s="28" t="str">
        <f>Source!DG264</f>
        <v>)*1,15)*1,2</v>
      </c>
      <c r="H597" s="27">
        <f>ROUND(Source!AF264*Source!I264, 2)</f>
        <v>32.340000000000003</v>
      </c>
      <c r="I597" s="28"/>
      <c r="J597" s="28">
        <f>IF(Source!BA264&lt;&gt; 0, Source!BA264, 1)</f>
        <v>6.13</v>
      </c>
      <c r="K597" s="27">
        <f>Source!S264</f>
        <v>198.23</v>
      </c>
      <c r="L597" s="29"/>
      <c r="R597">
        <f>H597</f>
        <v>32.340000000000003</v>
      </c>
    </row>
    <row r="598" spans="1:26" ht="14.25" x14ac:dyDescent="0.2">
      <c r="A598" s="42"/>
      <c r="B598" s="43"/>
      <c r="C598" s="43" t="s">
        <v>334</v>
      </c>
      <c r="D598" s="26"/>
      <c r="E598" s="10"/>
      <c r="F598" s="27">
        <f>Source!AM264</f>
        <v>35.630000000000003</v>
      </c>
      <c r="G598" s="28" t="str">
        <f>Source!DE264</f>
        <v>)*1,25)*1,2</v>
      </c>
      <c r="H598" s="27">
        <f>ROUND(Source!AD264*Source!I264, 2)</f>
        <v>5.35</v>
      </c>
      <c r="I598" s="28"/>
      <c r="J598" s="28">
        <f>IF(Source!BB264&lt;&gt; 0, Source!BB264, 1)</f>
        <v>6.13</v>
      </c>
      <c r="K598" s="27">
        <f>Source!Q264</f>
        <v>32.76</v>
      </c>
      <c r="L598" s="29"/>
    </row>
    <row r="599" spans="1:26" ht="14.25" x14ac:dyDescent="0.2">
      <c r="A599" s="42"/>
      <c r="B599" s="43"/>
      <c r="C599" s="43" t="s">
        <v>1303</v>
      </c>
      <c r="D599" s="26"/>
      <c r="E599" s="10"/>
      <c r="F599" s="27">
        <f>Source!AN264</f>
        <v>8.84</v>
      </c>
      <c r="G599" s="28" t="str">
        <f>Source!DF264</f>
        <v>)*1,25)*1,2</v>
      </c>
      <c r="H599" s="30">
        <f>ROUND(Source!AE264*Source!I264, 2)</f>
        <v>1.33</v>
      </c>
      <c r="I599" s="28"/>
      <c r="J599" s="28">
        <f>IF(Source!BS264&lt;&gt; 0, Source!BS264, 1)</f>
        <v>6.13</v>
      </c>
      <c r="K599" s="30">
        <f>Source!R264</f>
        <v>8.1300000000000008</v>
      </c>
      <c r="L599" s="29"/>
      <c r="R599">
        <f>H599</f>
        <v>1.33</v>
      </c>
    </row>
    <row r="600" spans="1:26" ht="14.25" x14ac:dyDescent="0.2">
      <c r="A600" s="42"/>
      <c r="B600" s="43"/>
      <c r="C600" s="43" t="s">
        <v>1309</v>
      </c>
      <c r="D600" s="26"/>
      <c r="E600" s="10"/>
      <c r="F600" s="27">
        <f>Source!AL264</f>
        <v>191.67</v>
      </c>
      <c r="G600" s="28" t="str">
        <f>Source!DD264</f>
        <v/>
      </c>
      <c r="H600" s="27">
        <f>ROUND(Source!AC264*Source!I264, 2)</f>
        <v>19.170000000000002</v>
      </c>
      <c r="I600" s="28"/>
      <c r="J600" s="28">
        <f>IF(Source!BC264&lt;&gt; 0, Source!BC264, 1)</f>
        <v>6.13</v>
      </c>
      <c r="K600" s="27">
        <f>Source!P264</f>
        <v>117.49</v>
      </c>
      <c r="L600" s="29"/>
    </row>
    <row r="601" spans="1:26" ht="14.25" x14ac:dyDescent="0.2">
      <c r="A601" s="42"/>
      <c r="B601" s="43"/>
      <c r="C601" s="43" t="s">
        <v>1304</v>
      </c>
      <c r="D601" s="26" t="s">
        <v>1305</v>
      </c>
      <c r="E601" s="10">
        <f>Source!BZ264</f>
        <v>128</v>
      </c>
      <c r="F601" s="50" t="str">
        <f>CONCATENATE(" )", Source!DL264, Source!FT264, "=", Source!FX264)</f>
        <v xml:space="preserve"> )*0,9=115,2</v>
      </c>
      <c r="G601" s="62"/>
      <c r="H601" s="27">
        <f>SUM(S595:S609)</f>
        <v>38.79</v>
      </c>
      <c r="I601" s="31"/>
      <c r="J601" s="25">
        <f>Source!AT264</f>
        <v>115</v>
      </c>
      <c r="K601" s="27">
        <f>SUM(T595:T609)</f>
        <v>237.31</v>
      </c>
      <c r="L601" s="29"/>
    </row>
    <row r="602" spans="1:26" ht="14.25" x14ac:dyDescent="0.2">
      <c r="A602" s="42"/>
      <c r="B602" s="43"/>
      <c r="C602" s="43" t="s">
        <v>1306</v>
      </c>
      <c r="D602" s="26" t="s">
        <v>1305</v>
      </c>
      <c r="E602" s="10">
        <f>Source!CA264</f>
        <v>83</v>
      </c>
      <c r="F602" s="50" t="str">
        <f>CONCATENATE(" )", Source!DM264, Source!FU264, "=", Source!FY264)</f>
        <v xml:space="preserve"> )*0,85=70,55</v>
      </c>
      <c r="G602" s="62"/>
      <c r="H602" s="27">
        <f>SUM(U595:U609)</f>
        <v>23.75</v>
      </c>
      <c r="I602" s="31"/>
      <c r="J602" s="25">
        <f>Source!AU264</f>
        <v>71</v>
      </c>
      <c r="K602" s="27">
        <f>SUM(V595:V609)</f>
        <v>146.52000000000001</v>
      </c>
      <c r="L602" s="29"/>
    </row>
    <row r="603" spans="1:26" ht="14.25" x14ac:dyDescent="0.2">
      <c r="A603" s="42"/>
      <c r="B603" s="43"/>
      <c r="C603" s="43" t="s">
        <v>1307</v>
      </c>
      <c r="D603" s="26" t="s">
        <v>1308</v>
      </c>
      <c r="E603" s="10">
        <f>Source!AQ264</f>
        <v>24.64</v>
      </c>
      <c r="F603" s="27"/>
      <c r="G603" s="28" t="str">
        <f>Source!DI264</f>
        <v>)*1,15)*1,2</v>
      </c>
      <c r="H603" s="27"/>
      <c r="I603" s="28"/>
      <c r="J603" s="28"/>
      <c r="K603" s="27"/>
      <c r="L603" s="38">
        <f>Source!U264</f>
        <v>3.4003200000000002</v>
      </c>
    </row>
    <row r="604" spans="1:26" ht="28.5" x14ac:dyDescent="0.2">
      <c r="A604" s="42" t="str">
        <f>Source!E265</f>
        <v>53,1</v>
      </c>
      <c r="B604" s="43" t="str">
        <f>Source!F265</f>
        <v>01.7.15.07-0009</v>
      </c>
      <c r="C604" s="43" t="str">
        <f>Source!G265</f>
        <v>Дюбели пластмассовые с шурупами 8х60 мм</v>
      </c>
      <c r="D604" s="26" t="str">
        <f>Source!H265</f>
        <v>100 шт.</v>
      </c>
      <c r="E604" s="10">
        <f>Source!I265</f>
        <v>0.04</v>
      </c>
      <c r="F604" s="27">
        <f>Source!AL265+Source!AM265+Source!AO265</f>
        <v>29.6</v>
      </c>
      <c r="G604" s="39" t="s">
        <v>3</v>
      </c>
      <c r="H604" s="27">
        <f>ROUND(Source!AC265*Source!I265, 2)+ROUND(Source!AD265*Source!I265, 2)+ROUND(Source!AF265*Source!I265, 2)</f>
        <v>1.18</v>
      </c>
      <c r="I604" s="28"/>
      <c r="J604" s="28">
        <f>IF(Source!BC265&lt;&gt; 0, Source!BC265, 1)</f>
        <v>6.13</v>
      </c>
      <c r="K604" s="27">
        <f>Source!O265</f>
        <v>7.26</v>
      </c>
      <c r="L604" s="29"/>
      <c r="S604">
        <f>ROUND((Source!FX265/100)*((ROUND(Source!AF265*Source!I265, 2)+ROUND(Source!AE265*Source!I265, 2))), 2)</f>
        <v>0</v>
      </c>
      <c r="T604">
        <f>Source!X265</f>
        <v>0</v>
      </c>
      <c r="U604">
        <f>ROUND((Source!FY265/100)*((ROUND(Source!AF265*Source!I265, 2)+ROUND(Source!AE265*Source!I265, 2))), 2)</f>
        <v>0</v>
      </c>
      <c r="V604">
        <f>Source!Y265</f>
        <v>0</v>
      </c>
      <c r="W604">
        <f>IF(Source!BI265&lt;=1,H604, 0)</f>
        <v>1.18</v>
      </c>
      <c r="X604">
        <f>IF(Source!BI265=2,H604, 0)</f>
        <v>0</v>
      </c>
      <c r="Y604">
        <f>IF(Source!BI265=3,H604, 0)</f>
        <v>0</v>
      </c>
      <c r="Z604">
        <f>IF(Source!BI265=4,H604, 0)</f>
        <v>0</v>
      </c>
    </row>
    <row r="605" spans="1:26" ht="14.25" x14ac:dyDescent="0.2">
      <c r="A605" s="42" t="str">
        <f>Source!E266</f>
        <v>53,2</v>
      </c>
      <c r="B605" s="43" t="str">
        <f>Source!F266</f>
        <v>18.2.01.06-0001</v>
      </c>
      <c r="C605" s="43" t="str">
        <f>Source!G266</f>
        <v>Унитаз-компакт «Комфорт»</v>
      </c>
      <c r="D605" s="26" t="str">
        <f>Source!H266</f>
        <v>компл.</v>
      </c>
      <c r="E605" s="10">
        <f>Source!I266</f>
        <v>1</v>
      </c>
      <c r="F605" s="27">
        <f>Source!AL266+Source!AM266+Source!AO266</f>
        <v>318</v>
      </c>
      <c r="G605" s="39" t="s">
        <v>3</v>
      </c>
      <c r="H605" s="27">
        <f>ROUND(Source!AC266*Source!I266, 2)+ROUND(Source!AD266*Source!I266, 2)+ROUND(Source!AF266*Source!I266, 2)</f>
        <v>318</v>
      </c>
      <c r="I605" s="28"/>
      <c r="J605" s="28">
        <f>IF(Source!BC266&lt;&gt; 0, Source!BC266, 1)</f>
        <v>6.13</v>
      </c>
      <c r="K605" s="27">
        <f>Source!O266</f>
        <v>1949.34</v>
      </c>
      <c r="L605" s="29"/>
      <c r="S605">
        <f>ROUND((Source!FX266/100)*((ROUND(Source!AF266*Source!I266, 2)+ROUND(Source!AE266*Source!I266, 2))), 2)</f>
        <v>0</v>
      </c>
      <c r="T605">
        <f>Source!X266</f>
        <v>0</v>
      </c>
      <c r="U605">
        <f>ROUND((Source!FY266/100)*((ROUND(Source!AF266*Source!I266, 2)+ROUND(Source!AE266*Source!I266, 2))), 2)</f>
        <v>0</v>
      </c>
      <c r="V605">
        <f>Source!Y266</f>
        <v>0</v>
      </c>
      <c r="W605">
        <f>IF(Source!BI266&lt;=1,H605, 0)</f>
        <v>318</v>
      </c>
      <c r="X605">
        <f>IF(Source!BI266=2,H605, 0)</f>
        <v>0</v>
      </c>
      <c r="Y605">
        <f>IF(Source!BI266=3,H605, 0)</f>
        <v>0</v>
      </c>
      <c r="Z605">
        <f>IF(Source!BI266=4,H605, 0)</f>
        <v>0</v>
      </c>
    </row>
    <row r="606" spans="1:26" ht="28.5" x14ac:dyDescent="0.2">
      <c r="A606" s="42" t="str">
        <f>Source!E267</f>
        <v>53,3</v>
      </c>
      <c r="B606" s="43" t="str">
        <f>Source!F267</f>
        <v>18.2.06.08-0016</v>
      </c>
      <c r="C606" s="43" t="str">
        <f>Source!G267</f>
        <v>Подводка гибкая армированная резиновая 1000 мм</v>
      </c>
      <c r="D606" s="26" t="str">
        <f>Source!H267</f>
        <v>10 шт.</v>
      </c>
      <c r="E606" s="10">
        <f>Source!I267</f>
        <v>0.1</v>
      </c>
      <c r="F606" s="27">
        <f>Source!AL267+Source!AM267+Source!AO267</f>
        <v>160.19999999999999</v>
      </c>
      <c r="G606" s="39" t="s">
        <v>3</v>
      </c>
      <c r="H606" s="27">
        <f>ROUND(Source!AC267*Source!I267, 2)+ROUND(Source!AD267*Source!I267, 2)+ROUND(Source!AF267*Source!I267, 2)</f>
        <v>16.02</v>
      </c>
      <c r="I606" s="28"/>
      <c r="J606" s="28">
        <f>IF(Source!BC267&lt;&gt; 0, Source!BC267, 1)</f>
        <v>6.13</v>
      </c>
      <c r="K606" s="27">
        <f>Source!O267</f>
        <v>98.2</v>
      </c>
      <c r="L606" s="29"/>
      <c r="S606">
        <f>ROUND((Source!FX267/100)*((ROUND(Source!AF267*Source!I267, 2)+ROUND(Source!AE267*Source!I267, 2))), 2)</f>
        <v>0</v>
      </c>
      <c r="T606">
        <f>Source!X267</f>
        <v>0</v>
      </c>
      <c r="U606">
        <f>ROUND((Source!FY267/100)*((ROUND(Source!AF267*Source!I267, 2)+ROUND(Source!AE267*Source!I267, 2))), 2)</f>
        <v>0</v>
      </c>
      <c r="V606">
        <f>Source!Y267</f>
        <v>0</v>
      </c>
      <c r="W606">
        <f>IF(Source!BI267&lt;=1,H606, 0)</f>
        <v>16.02</v>
      </c>
      <c r="X606">
        <f>IF(Source!BI267=2,H606, 0)</f>
        <v>0</v>
      </c>
      <c r="Y606">
        <f>IF(Source!BI267=3,H606, 0)</f>
        <v>0</v>
      </c>
      <c r="Z606">
        <f>IF(Source!BI267=4,H606, 0)</f>
        <v>0</v>
      </c>
    </row>
    <row r="607" spans="1:26" ht="14.25" x14ac:dyDescent="0.2">
      <c r="A607" s="42" t="str">
        <f>Source!E268</f>
        <v>53,4</v>
      </c>
      <c r="B607" s="43" t="str">
        <f>Source!F268</f>
        <v>01.7.15.07</v>
      </c>
      <c r="C607" s="43" t="str">
        <f>Source!G268</f>
        <v>Дюбели распорные полиэтиленовые</v>
      </c>
      <c r="D607" s="26" t="str">
        <f>Source!H268</f>
        <v>10 шт.</v>
      </c>
      <c r="E607" s="10">
        <f>Source!I268</f>
        <v>0.4</v>
      </c>
      <c r="F607" s="27">
        <f>Source!AL268+Source!AM268+Source!AO268</f>
        <v>0</v>
      </c>
      <c r="G607" s="39" t="s">
        <v>3</v>
      </c>
      <c r="H607" s="27">
        <f>ROUND(Source!AC268*Source!I268, 2)+ROUND(Source!AD268*Source!I268, 2)+ROUND(Source!AF268*Source!I268, 2)</f>
        <v>0</v>
      </c>
      <c r="I607" s="28"/>
      <c r="J607" s="28">
        <f>IF(Source!BC268&lt;&gt; 0, Source!BC268, 1)</f>
        <v>6.13</v>
      </c>
      <c r="K607" s="27">
        <f>Source!O268</f>
        <v>0</v>
      </c>
      <c r="L607" s="29"/>
      <c r="S607">
        <f>ROUND((Source!FX268/100)*((ROUND(Source!AF268*Source!I268, 2)+ROUND(Source!AE268*Source!I268, 2))), 2)</f>
        <v>0</v>
      </c>
      <c r="T607">
        <f>Source!X268</f>
        <v>0</v>
      </c>
      <c r="U607">
        <f>ROUND((Source!FY268/100)*((ROUND(Source!AF268*Source!I268, 2)+ROUND(Source!AE268*Source!I268, 2))), 2)</f>
        <v>0</v>
      </c>
      <c r="V607">
        <f>Source!Y268</f>
        <v>0</v>
      </c>
      <c r="W607">
        <f>IF(Source!BI268&lt;=1,H607, 0)</f>
        <v>0</v>
      </c>
      <c r="X607">
        <f>IF(Source!BI268=2,H607, 0)</f>
        <v>0</v>
      </c>
      <c r="Y607">
        <f>IF(Source!BI268=3,H607, 0)</f>
        <v>0</v>
      </c>
      <c r="Z607">
        <f>IF(Source!BI268=4,H607, 0)</f>
        <v>0</v>
      </c>
    </row>
    <row r="608" spans="1:26" ht="14.25" x14ac:dyDescent="0.2">
      <c r="A608" s="42" t="str">
        <f>Source!E269</f>
        <v>53,5</v>
      </c>
      <c r="B608" s="43" t="str">
        <f>Source!F269</f>
        <v>01.7.15.14</v>
      </c>
      <c r="C608" s="43" t="str">
        <f>Source!G269</f>
        <v>Шурупы строительные</v>
      </c>
      <c r="D608" s="26" t="str">
        <f>Source!H269</f>
        <v>т</v>
      </c>
      <c r="E608" s="10">
        <f>Source!I269</f>
        <v>5.0000000000000002E-5</v>
      </c>
      <c r="F608" s="27">
        <f>Source!AL269+Source!AM269+Source!AO269</f>
        <v>0</v>
      </c>
      <c r="G608" s="39" t="s">
        <v>3</v>
      </c>
      <c r="H608" s="27">
        <f>ROUND(Source!AC269*Source!I269, 2)+ROUND(Source!AD269*Source!I269, 2)+ROUND(Source!AF269*Source!I269, 2)</f>
        <v>0</v>
      </c>
      <c r="I608" s="28"/>
      <c r="J608" s="28">
        <f>IF(Source!BC269&lt;&gt; 0, Source!BC269, 1)</f>
        <v>6.13</v>
      </c>
      <c r="K608" s="27">
        <f>Source!O269</f>
        <v>0</v>
      </c>
      <c r="L608" s="29"/>
      <c r="S608">
        <f>ROUND((Source!FX269/100)*((ROUND(Source!AF269*Source!I269, 2)+ROUND(Source!AE269*Source!I269, 2))), 2)</f>
        <v>0</v>
      </c>
      <c r="T608">
        <f>Source!X269</f>
        <v>0</v>
      </c>
      <c r="U608">
        <f>ROUND((Source!FY269/100)*((ROUND(Source!AF269*Source!I269, 2)+ROUND(Source!AE269*Source!I269, 2))), 2)</f>
        <v>0</v>
      </c>
      <c r="V608">
        <f>Source!Y269</f>
        <v>0</v>
      </c>
      <c r="W608">
        <f>IF(Source!BI269&lt;=1,H608, 0)</f>
        <v>0</v>
      </c>
      <c r="X608">
        <f>IF(Source!BI269=2,H608, 0)</f>
        <v>0</v>
      </c>
      <c r="Y608">
        <f>IF(Source!BI269=3,H608, 0)</f>
        <v>0</v>
      </c>
      <c r="Z608">
        <f>IF(Source!BI269=4,H608, 0)</f>
        <v>0</v>
      </c>
    </row>
    <row r="609" spans="1:32" ht="14.25" x14ac:dyDescent="0.2">
      <c r="A609" s="44" t="str">
        <f>Source!E270</f>
        <v>53,6</v>
      </c>
      <c r="B609" s="45" t="str">
        <f>Source!F270</f>
        <v>18.2.06.12</v>
      </c>
      <c r="C609" s="45" t="str">
        <f>Source!G270</f>
        <v>Приборы санитарно-технические</v>
      </c>
      <c r="D609" s="32" t="str">
        <f>Source!H270</f>
        <v>компл.</v>
      </c>
      <c r="E609" s="33">
        <f>Source!I270</f>
        <v>1</v>
      </c>
      <c r="F609" s="34">
        <f>Source!AL270+Source!AM270+Source!AO270</f>
        <v>0</v>
      </c>
      <c r="G609" s="40" t="s">
        <v>3</v>
      </c>
      <c r="H609" s="34">
        <f>ROUND(Source!AC270*Source!I270, 2)+ROUND(Source!AD270*Source!I270, 2)+ROUND(Source!AF270*Source!I270, 2)</f>
        <v>0</v>
      </c>
      <c r="I609" s="35"/>
      <c r="J609" s="35">
        <f>IF(Source!BC270&lt;&gt; 0, Source!BC270, 1)</f>
        <v>6.13</v>
      </c>
      <c r="K609" s="34">
        <f>Source!O270</f>
        <v>0</v>
      </c>
      <c r="L609" s="41"/>
      <c r="S609">
        <f>ROUND((Source!FX270/100)*((ROUND(Source!AF270*Source!I270, 2)+ROUND(Source!AE270*Source!I270, 2))), 2)</f>
        <v>0</v>
      </c>
      <c r="T609">
        <f>Source!X270</f>
        <v>0</v>
      </c>
      <c r="U609">
        <f>ROUND((Source!FY270/100)*((ROUND(Source!AF270*Source!I270, 2)+ROUND(Source!AE270*Source!I270, 2))), 2)</f>
        <v>0</v>
      </c>
      <c r="V609">
        <f>Source!Y270</f>
        <v>0</v>
      </c>
      <c r="W609">
        <f>IF(Source!BI270&lt;=1,H609, 0)</f>
        <v>0</v>
      </c>
      <c r="X609">
        <f>IF(Source!BI270=2,H609, 0)</f>
        <v>0</v>
      </c>
      <c r="Y609">
        <f>IF(Source!BI270=3,H609, 0)</f>
        <v>0</v>
      </c>
      <c r="Z609">
        <f>IF(Source!BI270=4,H609, 0)</f>
        <v>0</v>
      </c>
    </row>
    <row r="610" spans="1:32" ht="15" x14ac:dyDescent="0.25">
      <c r="G610" s="61">
        <f>H597+H598+H600+H601+H602+SUM(H604:H609)</f>
        <v>454.6</v>
      </c>
      <c r="H610" s="61"/>
      <c r="J610" s="61">
        <f>K597+K598+K600+K601+K602+SUM(K604:K609)</f>
        <v>2787.1099999999997</v>
      </c>
      <c r="K610" s="61"/>
      <c r="L610" s="37">
        <f>Source!U264</f>
        <v>3.4003200000000002</v>
      </c>
      <c r="O610" s="23">
        <f>G610</f>
        <v>454.6</v>
      </c>
      <c r="P610" s="23">
        <f>J610</f>
        <v>2787.1099999999997</v>
      </c>
      <c r="Q610" s="23">
        <f>L610</f>
        <v>3.4003200000000002</v>
      </c>
      <c r="W610">
        <f>IF(Source!BI264&lt;=1,H597+H598+H600+H601+H602, 0)</f>
        <v>119.4</v>
      </c>
      <c r="X610">
        <f>IF(Source!BI264=2,H597+H598+H600+H601+H602, 0)</f>
        <v>0</v>
      </c>
      <c r="Y610">
        <f>IF(Source!BI264=3,H597+H598+H600+H601+H602, 0)</f>
        <v>0</v>
      </c>
      <c r="Z610">
        <f>IF(Source!BI264=4,H597+H598+H600+H601+H602, 0)</f>
        <v>0</v>
      </c>
    </row>
    <row r="611" spans="1:32" ht="15" x14ac:dyDescent="0.25">
      <c r="A611" s="59" t="str">
        <f>CONCATENATE("Итого по разделу: ",IF(Source!G272&lt;&gt;"Новый раздел", Source!G272, ""))</f>
        <v>Итого по разделу: Система водоснабжения и канализации</v>
      </c>
      <c r="B611" s="59"/>
      <c r="C611" s="59"/>
      <c r="D611" s="59"/>
      <c r="E611" s="59"/>
      <c r="F611" s="59"/>
      <c r="G611" s="60">
        <f>SUM(O488:O610)</f>
        <v>37789.37999999999</v>
      </c>
      <c r="H611" s="60"/>
      <c r="I611" s="24"/>
      <c r="J611" s="60">
        <f>SUM(P488:P610)</f>
        <v>231715.56999999995</v>
      </c>
      <c r="K611" s="60"/>
      <c r="L611" s="37">
        <f>SUM(Q488:Q610)</f>
        <v>407.39287999999993</v>
      </c>
      <c r="AF611" s="48" t="str">
        <f>CONCATENATE("Итого по разделу: ",IF(Source!G272&lt;&gt;"Новый раздел", Source!G272, ""))</f>
        <v>Итого по разделу: Система водоснабжения и канализации</v>
      </c>
    </row>
    <row r="612" spans="1:32" ht="16.5" x14ac:dyDescent="0.25">
      <c r="A612" s="64" t="str">
        <f>CONCATENATE("Раздел: ",IF(Source!G301&lt;&gt;"Новый раздел", Source!G301, ""))</f>
        <v>Раздел: Система вентиляции и кондиционирования</v>
      </c>
      <c r="B612" s="64"/>
      <c r="C612" s="64"/>
      <c r="D612" s="64"/>
      <c r="E612" s="64"/>
      <c r="F612" s="64"/>
      <c r="G612" s="64"/>
      <c r="H612" s="64"/>
      <c r="I612" s="64"/>
      <c r="J612" s="64"/>
      <c r="K612" s="64"/>
      <c r="L612" s="64"/>
    </row>
    <row r="613" spans="1:32" ht="28.5" x14ac:dyDescent="0.2">
      <c r="A613" s="42" t="str">
        <f>Source!E305</f>
        <v>54</v>
      </c>
      <c r="B613" s="43" t="str">
        <f>Source!F305</f>
        <v>20-02-002-01</v>
      </c>
      <c r="C613" s="43" t="str">
        <f>Source!G305</f>
        <v>Установка решеток жалюзийных площадью в свету до 0,5 м2</v>
      </c>
      <c r="D613" s="26" t="str">
        <f>Source!H305</f>
        <v>ШТ</v>
      </c>
      <c r="E613" s="10">
        <f>Source!I305</f>
        <v>2</v>
      </c>
      <c r="F613" s="27">
        <f>Source!AL305+Source!AM305+Source!AO305</f>
        <v>18.670000000000002</v>
      </c>
      <c r="G613" s="28"/>
      <c r="H613" s="27"/>
      <c r="I613" s="28" t="str">
        <f>Source!BO305</f>
        <v/>
      </c>
      <c r="J613" s="28"/>
      <c r="K613" s="27"/>
      <c r="L613" s="29"/>
      <c r="S613">
        <f>ROUND((Source!FX305/100)*((ROUND(Source!AF305*Source!I305, 2)+ROUND(Source!AE305*Source!I305, 2))), 2)</f>
        <v>42.07</v>
      </c>
      <c r="T613">
        <f>Source!X305</f>
        <v>257.45</v>
      </c>
      <c r="U613">
        <f>ROUND((Source!FY305/100)*((ROUND(Source!AF305*Source!I305, 2)+ROUND(Source!AE305*Source!I305, 2))), 2)</f>
        <v>25.76</v>
      </c>
      <c r="V613">
        <f>Source!Y305</f>
        <v>158.94999999999999</v>
      </c>
    </row>
    <row r="614" spans="1:32" ht="14.25" x14ac:dyDescent="0.2">
      <c r="A614" s="42"/>
      <c r="B614" s="43"/>
      <c r="C614" s="43" t="s">
        <v>1302</v>
      </c>
      <c r="D614" s="26"/>
      <c r="E614" s="10"/>
      <c r="F614" s="27">
        <f>Source!AO305</f>
        <v>13.1</v>
      </c>
      <c r="G614" s="28" t="str">
        <f>Source!DG305</f>
        <v>)*1,15)*1,2</v>
      </c>
      <c r="H614" s="27">
        <f>ROUND(Source!AF305*Source!I305, 2)</f>
        <v>36.159999999999997</v>
      </c>
      <c r="I614" s="28"/>
      <c r="J614" s="28">
        <f>IF(Source!BA305&lt;&gt; 0, Source!BA305, 1)</f>
        <v>6.13</v>
      </c>
      <c r="K614" s="27">
        <f>Source!S305</f>
        <v>221.66</v>
      </c>
      <c r="L614" s="29"/>
      <c r="R614">
        <f>H614</f>
        <v>36.159999999999997</v>
      </c>
    </row>
    <row r="615" spans="1:32" ht="14.25" x14ac:dyDescent="0.2">
      <c r="A615" s="42"/>
      <c r="B615" s="43"/>
      <c r="C615" s="43" t="s">
        <v>334</v>
      </c>
      <c r="D615" s="26"/>
      <c r="E615" s="10"/>
      <c r="F615" s="27">
        <f>Source!AM305</f>
        <v>1.63</v>
      </c>
      <c r="G615" s="28" t="str">
        <f>Source!DE305</f>
        <v>)*1,25)*1,2</v>
      </c>
      <c r="H615" s="27">
        <f>ROUND(Source!AD305*Source!I305, 2)</f>
        <v>4.9000000000000004</v>
      </c>
      <c r="I615" s="28"/>
      <c r="J615" s="28">
        <f>IF(Source!BB305&lt;&gt; 0, Source!BB305, 1)</f>
        <v>6.13</v>
      </c>
      <c r="K615" s="27">
        <f>Source!Q305</f>
        <v>30.04</v>
      </c>
      <c r="L615" s="29"/>
    </row>
    <row r="616" spans="1:32" ht="14.25" x14ac:dyDescent="0.2">
      <c r="A616" s="42"/>
      <c r="B616" s="43"/>
      <c r="C616" s="43" t="s">
        <v>1303</v>
      </c>
      <c r="D616" s="26"/>
      <c r="E616" s="10"/>
      <c r="F616" s="27">
        <f>Source!AN305</f>
        <v>0.12</v>
      </c>
      <c r="G616" s="28" t="str">
        <f>Source!DF305</f>
        <v>)*1,25)*1,2</v>
      </c>
      <c r="H616" s="30">
        <f>ROUND(Source!AE305*Source!I305, 2)</f>
        <v>0.36</v>
      </c>
      <c r="I616" s="28"/>
      <c r="J616" s="28">
        <f>IF(Source!BS305&lt;&gt; 0, Source!BS305, 1)</f>
        <v>6.13</v>
      </c>
      <c r="K616" s="30">
        <f>Source!R305</f>
        <v>2.21</v>
      </c>
      <c r="L616" s="29"/>
      <c r="R616">
        <f>H616</f>
        <v>0.36</v>
      </c>
    </row>
    <row r="617" spans="1:32" ht="14.25" x14ac:dyDescent="0.2">
      <c r="A617" s="42"/>
      <c r="B617" s="43"/>
      <c r="C617" s="43" t="s">
        <v>1309</v>
      </c>
      <c r="D617" s="26"/>
      <c r="E617" s="10"/>
      <c r="F617" s="27">
        <f>Source!AL305</f>
        <v>3.94</v>
      </c>
      <c r="G617" s="28" t="str">
        <f>Source!DD305</f>
        <v/>
      </c>
      <c r="H617" s="27">
        <f>ROUND(Source!AC305*Source!I305, 2)</f>
        <v>7.88</v>
      </c>
      <c r="I617" s="28"/>
      <c r="J617" s="28">
        <f>IF(Source!BC305&lt;&gt; 0, Source!BC305, 1)</f>
        <v>6.13</v>
      </c>
      <c r="K617" s="27">
        <f>Source!P305</f>
        <v>48.3</v>
      </c>
      <c r="L617" s="29"/>
    </row>
    <row r="618" spans="1:32" ht="14.25" x14ac:dyDescent="0.2">
      <c r="A618" s="42"/>
      <c r="B618" s="43"/>
      <c r="C618" s="43" t="s">
        <v>1304</v>
      </c>
      <c r="D618" s="26" t="s">
        <v>1305</v>
      </c>
      <c r="E618" s="10">
        <f>Source!BZ305</f>
        <v>128</v>
      </c>
      <c r="F618" s="50" t="str">
        <f>CONCATENATE(" )", Source!DL305, Source!FT305, "=", Source!FX305)</f>
        <v xml:space="preserve"> )*0,9=115,2</v>
      </c>
      <c r="G618" s="62"/>
      <c r="H618" s="27">
        <f>SUM(S613:S622)</f>
        <v>42.07</v>
      </c>
      <c r="I618" s="31"/>
      <c r="J618" s="25">
        <f>Source!AT305</f>
        <v>115</v>
      </c>
      <c r="K618" s="27">
        <f>SUM(T613:T622)</f>
        <v>257.45</v>
      </c>
      <c r="L618" s="29"/>
    </row>
    <row r="619" spans="1:32" ht="14.25" x14ac:dyDescent="0.2">
      <c r="A619" s="42"/>
      <c r="B619" s="43"/>
      <c r="C619" s="43" t="s">
        <v>1306</v>
      </c>
      <c r="D619" s="26" t="s">
        <v>1305</v>
      </c>
      <c r="E619" s="10">
        <f>Source!CA305</f>
        <v>83</v>
      </c>
      <c r="F619" s="50" t="str">
        <f>CONCATENATE(" )", Source!DM305, Source!FU305, "=", Source!FY305)</f>
        <v xml:space="preserve"> )*0,85=70,55</v>
      </c>
      <c r="G619" s="62"/>
      <c r="H619" s="27">
        <f>SUM(U613:U622)</f>
        <v>25.76</v>
      </c>
      <c r="I619" s="31"/>
      <c r="J619" s="25">
        <f>Source!AU305</f>
        <v>71</v>
      </c>
      <c r="K619" s="27">
        <f>SUM(V613:V622)</f>
        <v>158.94999999999999</v>
      </c>
      <c r="L619" s="29"/>
    </row>
    <row r="620" spans="1:32" ht="14.25" x14ac:dyDescent="0.2">
      <c r="A620" s="42"/>
      <c r="B620" s="43"/>
      <c r="C620" s="43" t="s">
        <v>1307</v>
      </c>
      <c r="D620" s="26" t="s">
        <v>1308</v>
      </c>
      <c r="E620" s="10">
        <f>Source!AQ305</f>
        <v>1.46</v>
      </c>
      <c r="F620" s="27"/>
      <c r="G620" s="28" t="str">
        <f>Source!DI305</f>
        <v>)*1,15)*1,2</v>
      </c>
      <c r="H620" s="27"/>
      <c r="I620" s="28"/>
      <c r="J620" s="28"/>
      <c r="K620" s="27"/>
      <c r="L620" s="38">
        <f>Source!U305</f>
        <v>4.0295999999999994</v>
      </c>
    </row>
    <row r="621" spans="1:32" ht="28.5" x14ac:dyDescent="0.2">
      <c r="A621" s="42" t="str">
        <f>Source!E306</f>
        <v>54,1</v>
      </c>
      <c r="B621" s="43" t="str">
        <f>Source!F306</f>
        <v>19.2.03.03-0033</v>
      </c>
      <c r="C621" s="43" t="str">
        <f>Source!G306</f>
        <v>Решетки вентиляционные , размером 300х300 мм согласно тех.заданию</v>
      </c>
      <c r="D621" s="26" t="str">
        <f>Source!H306</f>
        <v>шт.</v>
      </c>
      <c r="E621" s="10">
        <f>Source!I306</f>
        <v>2</v>
      </c>
      <c r="F621" s="27">
        <f>Source!AL306+Source!AM306+Source!AO306</f>
        <v>100.1</v>
      </c>
      <c r="G621" s="39" t="s">
        <v>3</v>
      </c>
      <c r="H621" s="27">
        <f>ROUND(Source!AC306*Source!I306, 2)+ROUND(Source!AD306*Source!I306, 2)+ROUND(Source!AF306*Source!I306, 2)</f>
        <v>200.2</v>
      </c>
      <c r="I621" s="28"/>
      <c r="J621" s="28">
        <f>IF(Source!BC306&lt;&gt; 0, Source!BC306, 1)</f>
        <v>6.13</v>
      </c>
      <c r="K621" s="27">
        <f>Source!O306</f>
        <v>1227.23</v>
      </c>
      <c r="L621" s="29"/>
      <c r="S621">
        <f>ROUND((Source!FX306/100)*((ROUND(Source!AF306*Source!I306, 2)+ROUND(Source!AE306*Source!I306, 2))), 2)</f>
        <v>0</v>
      </c>
      <c r="T621">
        <f>Source!X306</f>
        <v>0</v>
      </c>
      <c r="U621">
        <f>ROUND((Source!FY306/100)*((ROUND(Source!AF306*Source!I306, 2)+ROUND(Source!AE306*Source!I306, 2))), 2)</f>
        <v>0</v>
      </c>
      <c r="V621">
        <f>Source!Y306</f>
        <v>0</v>
      </c>
      <c r="W621">
        <f>IF(Source!BI306&lt;=1,H621, 0)</f>
        <v>200.2</v>
      </c>
      <c r="X621">
        <f>IF(Source!BI306=2,H621, 0)</f>
        <v>0</v>
      </c>
      <c r="Y621">
        <f>IF(Source!BI306=3,H621, 0)</f>
        <v>0</v>
      </c>
      <c r="Z621">
        <f>IF(Source!BI306=4,H621, 0)</f>
        <v>0</v>
      </c>
    </row>
    <row r="622" spans="1:32" ht="14.25" x14ac:dyDescent="0.2">
      <c r="A622" s="44" t="str">
        <f>Source!E307</f>
        <v>54,2</v>
      </c>
      <c r="B622" s="45" t="str">
        <f>Source!F307</f>
        <v>19.2.03.09</v>
      </c>
      <c r="C622" s="45" t="str">
        <f>Source!G307</f>
        <v>Решетки жалюзийные</v>
      </c>
      <c r="D622" s="32" t="str">
        <f>Source!H307</f>
        <v>шт.</v>
      </c>
      <c r="E622" s="33">
        <f>Source!I307</f>
        <v>2</v>
      </c>
      <c r="F622" s="34">
        <f>Source!AL307+Source!AM307+Source!AO307</f>
        <v>0</v>
      </c>
      <c r="G622" s="40" t="s">
        <v>3</v>
      </c>
      <c r="H622" s="34">
        <f>ROUND(Source!AC307*Source!I307, 2)+ROUND(Source!AD307*Source!I307, 2)+ROUND(Source!AF307*Source!I307, 2)</f>
        <v>0</v>
      </c>
      <c r="I622" s="35"/>
      <c r="J622" s="35">
        <f>IF(Source!BC307&lt;&gt; 0, Source!BC307, 1)</f>
        <v>6.13</v>
      </c>
      <c r="K622" s="34">
        <f>Source!O307</f>
        <v>0</v>
      </c>
      <c r="L622" s="41"/>
      <c r="S622">
        <f>ROUND((Source!FX307/100)*((ROUND(Source!AF307*Source!I307, 2)+ROUND(Source!AE307*Source!I307, 2))), 2)</f>
        <v>0</v>
      </c>
      <c r="T622">
        <f>Source!X307</f>
        <v>0</v>
      </c>
      <c r="U622">
        <f>ROUND((Source!FY307/100)*((ROUND(Source!AF307*Source!I307, 2)+ROUND(Source!AE307*Source!I307, 2))), 2)</f>
        <v>0</v>
      </c>
      <c r="V622">
        <f>Source!Y307</f>
        <v>0</v>
      </c>
      <c r="W622">
        <f>IF(Source!BI307&lt;=1,H622, 0)</f>
        <v>0</v>
      </c>
      <c r="X622">
        <f>IF(Source!BI307=2,H622, 0)</f>
        <v>0</v>
      </c>
      <c r="Y622">
        <f>IF(Source!BI307=3,H622, 0)</f>
        <v>0</v>
      </c>
      <c r="Z622">
        <f>IF(Source!BI307=4,H622, 0)</f>
        <v>0</v>
      </c>
    </row>
    <row r="623" spans="1:32" ht="15" x14ac:dyDescent="0.25">
      <c r="G623" s="61">
        <f>H614+H615+H617+H618+H619+SUM(H621:H622)</f>
        <v>316.96999999999997</v>
      </c>
      <c r="H623" s="61"/>
      <c r="J623" s="61">
        <f>K614+K615+K617+K618+K619+SUM(K621:K622)</f>
        <v>1943.63</v>
      </c>
      <c r="K623" s="61"/>
      <c r="L623" s="37">
        <f>Source!U305</f>
        <v>4.0295999999999994</v>
      </c>
      <c r="O623" s="23">
        <f>G623</f>
        <v>316.96999999999997</v>
      </c>
      <c r="P623" s="23">
        <f>J623</f>
        <v>1943.63</v>
      </c>
      <c r="Q623" s="23">
        <f>L623</f>
        <v>4.0295999999999994</v>
      </c>
      <c r="W623">
        <f>IF(Source!BI305&lt;=1,H614+H615+H617+H618+H619, 0)</f>
        <v>116.77</v>
      </c>
      <c r="X623">
        <f>IF(Source!BI305=2,H614+H615+H617+H618+H619, 0)</f>
        <v>0</v>
      </c>
      <c r="Y623">
        <f>IF(Source!BI305=3,H614+H615+H617+H618+H619, 0)</f>
        <v>0</v>
      </c>
      <c r="Z623">
        <f>IF(Source!BI305=4,H614+H615+H617+H618+H619, 0)</f>
        <v>0</v>
      </c>
    </row>
    <row r="624" spans="1:32" ht="28.5" x14ac:dyDescent="0.2">
      <c r="A624" s="42" t="str">
        <f>Source!E308</f>
        <v>55</v>
      </c>
      <c r="B624" s="43" t="str">
        <f>Source!F308</f>
        <v>20-03-001-02</v>
      </c>
      <c r="C624" s="43" t="str">
        <f>Source!G308</f>
        <v>Установка вентиляторов радиальных массой до 0,12 т</v>
      </c>
      <c r="D624" s="26" t="str">
        <f>Source!H308</f>
        <v>ШТ</v>
      </c>
      <c r="E624" s="10">
        <f>Source!I308</f>
        <v>2</v>
      </c>
      <c r="F624" s="27">
        <f>Source!AL308+Source!AM308+Source!AO308</f>
        <v>89.88</v>
      </c>
      <c r="G624" s="28"/>
      <c r="H624" s="27"/>
      <c r="I624" s="28" t="str">
        <f>Source!BO308</f>
        <v/>
      </c>
      <c r="J624" s="28"/>
      <c r="K624" s="27"/>
      <c r="L624" s="29"/>
      <c r="S624">
        <f>ROUND((Source!FX308/100)*((ROUND(Source!AF308*Source!I308, 2)+ROUND(Source!AE308*Source!I308, 2))), 2)</f>
        <v>247.52</v>
      </c>
      <c r="T624">
        <f>Source!X308</f>
        <v>1514.65</v>
      </c>
      <c r="U624">
        <f>ROUND((Source!FY308/100)*((ROUND(Source!AF308*Source!I308, 2)+ROUND(Source!AE308*Source!I308, 2))), 2)</f>
        <v>151.58000000000001</v>
      </c>
      <c r="V624">
        <f>Source!Y308</f>
        <v>935.13</v>
      </c>
    </row>
    <row r="625" spans="1:32" ht="14.25" x14ac:dyDescent="0.2">
      <c r="A625" s="42"/>
      <c r="B625" s="43"/>
      <c r="C625" s="43" t="s">
        <v>1302</v>
      </c>
      <c r="D625" s="26"/>
      <c r="E625" s="10"/>
      <c r="F625" s="27">
        <f>Source!AO308</f>
        <v>76.77</v>
      </c>
      <c r="G625" s="28" t="str">
        <f>Source!DG308</f>
        <v>)*1,15)*1,2</v>
      </c>
      <c r="H625" s="27">
        <f>ROUND(Source!AF308*Source!I308, 2)</f>
        <v>211.88</v>
      </c>
      <c r="I625" s="28"/>
      <c r="J625" s="28">
        <f>IF(Source!BA308&lt;&gt; 0, Source!BA308, 1)</f>
        <v>6.13</v>
      </c>
      <c r="K625" s="27">
        <f>Source!S308</f>
        <v>1298.82</v>
      </c>
      <c r="L625" s="29"/>
      <c r="R625">
        <f>H625</f>
        <v>211.88</v>
      </c>
    </row>
    <row r="626" spans="1:32" ht="14.25" x14ac:dyDescent="0.2">
      <c r="A626" s="42"/>
      <c r="B626" s="43"/>
      <c r="C626" s="43" t="s">
        <v>334</v>
      </c>
      <c r="D626" s="26"/>
      <c r="E626" s="10"/>
      <c r="F626" s="27">
        <f>Source!AM308</f>
        <v>13.11</v>
      </c>
      <c r="G626" s="28" t="str">
        <f>Source!DE308</f>
        <v>)*1,25)*1,2</v>
      </c>
      <c r="H626" s="27">
        <f>ROUND(Source!AD308*Source!I308, 2)</f>
        <v>39.340000000000003</v>
      </c>
      <c r="I626" s="28"/>
      <c r="J626" s="28">
        <f>IF(Source!BB308&lt;&gt; 0, Source!BB308, 1)</f>
        <v>6.13</v>
      </c>
      <c r="K626" s="27">
        <f>Source!Q308</f>
        <v>241.15</v>
      </c>
      <c r="L626" s="29"/>
    </row>
    <row r="627" spans="1:32" ht="14.25" x14ac:dyDescent="0.2">
      <c r="A627" s="42"/>
      <c r="B627" s="43"/>
      <c r="C627" s="43" t="s">
        <v>1303</v>
      </c>
      <c r="D627" s="26"/>
      <c r="E627" s="10"/>
      <c r="F627" s="27">
        <f>Source!AN308</f>
        <v>0.99</v>
      </c>
      <c r="G627" s="28" t="str">
        <f>Source!DF308</f>
        <v>)*1,25)*1,2</v>
      </c>
      <c r="H627" s="30">
        <f>ROUND(Source!AE308*Source!I308, 2)</f>
        <v>2.98</v>
      </c>
      <c r="I627" s="28"/>
      <c r="J627" s="28">
        <f>IF(Source!BS308&lt;&gt; 0, Source!BS308, 1)</f>
        <v>6.13</v>
      </c>
      <c r="K627" s="30">
        <f>Source!R308</f>
        <v>18.27</v>
      </c>
      <c r="L627" s="29"/>
      <c r="R627">
        <f>H627</f>
        <v>2.98</v>
      </c>
    </row>
    <row r="628" spans="1:32" ht="14.25" x14ac:dyDescent="0.2">
      <c r="A628" s="42"/>
      <c r="B628" s="43"/>
      <c r="C628" s="43" t="s">
        <v>1304</v>
      </c>
      <c r="D628" s="26" t="s">
        <v>1305</v>
      </c>
      <c r="E628" s="10">
        <f>Source!BZ308</f>
        <v>128</v>
      </c>
      <c r="F628" s="50" t="str">
        <f>CONCATENATE(" )", Source!DL308, Source!FT308, "=", Source!FX308)</f>
        <v xml:space="preserve"> )*0,9=115,2</v>
      </c>
      <c r="G628" s="62"/>
      <c r="H628" s="27">
        <f>SUM(S624:S633)</f>
        <v>247.52</v>
      </c>
      <c r="I628" s="31"/>
      <c r="J628" s="25">
        <f>Source!AT308</f>
        <v>115</v>
      </c>
      <c r="K628" s="27">
        <f>SUM(T624:T633)</f>
        <v>1514.65</v>
      </c>
      <c r="L628" s="29"/>
    </row>
    <row r="629" spans="1:32" ht="14.25" x14ac:dyDescent="0.2">
      <c r="A629" s="42"/>
      <c r="B629" s="43"/>
      <c r="C629" s="43" t="s">
        <v>1306</v>
      </c>
      <c r="D629" s="26" t="s">
        <v>1305</v>
      </c>
      <c r="E629" s="10">
        <f>Source!CA308</f>
        <v>83</v>
      </c>
      <c r="F629" s="50" t="str">
        <f>CONCATENATE(" )", Source!DM308, Source!FU308, "=", Source!FY308)</f>
        <v xml:space="preserve"> )*0,85=70,55</v>
      </c>
      <c r="G629" s="62"/>
      <c r="H629" s="27">
        <f>SUM(U624:U633)</f>
        <v>151.58000000000001</v>
      </c>
      <c r="I629" s="31"/>
      <c r="J629" s="25">
        <f>Source!AU308</f>
        <v>71</v>
      </c>
      <c r="K629" s="27">
        <f>SUM(V624:V633)</f>
        <v>935.13</v>
      </c>
      <c r="L629" s="29"/>
    </row>
    <row r="630" spans="1:32" ht="14.25" x14ac:dyDescent="0.2">
      <c r="A630" s="42"/>
      <c r="B630" s="43"/>
      <c r="C630" s="43" t="s">
        <v>1307</v>
      </c>
      <c r="D630" s="26" t="s">
        <v>1308</v>
      </c>
      <c r="E630" s="10">
        <f>Source!AQ308</f>
        <v>9</v>
      </c>
      <c r="F630" s="27"/>
      <c r="G630" s="28" t="str">
        <f>Source!DI308</f>
        <v>)*1,15)*1,2</v>
      </c>
      <c r="H630" s="27"/>
      <c r="I630" s="28"/>
      <c r="J630" s="28"/>
      <c r="K630" s="27"/>
      <c r="L630" s="38">
        <f>Source!U308</f>
        <v>24.84</v>
      </c>
    </row>
    <row r="631" spans="1:32" ht="57" x14ac:dyDescent="0.2">
      <c r="A631" s="42" t="str">
        <f>Source!E309</f>
        <v>55,1</v>
      </c>
      <c r="B631" s="43" t="str">
        <f>Source!F309</f>
        <v>64.1.05.09-0031</v>
      </c>
      <c r="C631" s="43" t="str">
        <f>Source!G309</f>
        <v>Вентиляторы радиальные низкого давления из углеродистой стали, марка ВР 80-75-3.15, тип электродвигателя АИР80В2</v>
      </c>
      <c r="D631" s="26" t="str">
        <f>Source!H309</f>
        <v>шт.</v>
      </c>
      <c r="E631" s="10">
        <f>Source!I309</f>
        <v>2</v>
      </c>
      <c r="F631" s="27">
        <f>Source!AL309+Source!AM309+Source!AO309</f>
        <v>2303.7399999999998</v>
      </c>
      <c r="G631" s="39" t="s">
        <v>3</v>
      </c>
      <c r="H631" s="27">
        <f>ROUND(Source!AC309*Source!I309, 2)+ROUND(Source!AD309*Source!I309, 2)+ROUND(Source!AF309*Source!I309, 2)</f>
        <v>4607.4799999999996</v>
      </c>
      <c r="I631" s="28"/>
      <c r="J631" s="28">
        <f>IF(Source!BC309&lt;&gt; 0, Source!BC309, 1)</f>
        <v>6.13</v>
      </c>
      <c r="K631" s="27">
        <f>Source!O309</f>
        <v>28243.85</v>
      </c>
      <c r="L631" s="29"/>
      <c r="S631">
        <f>ROUND((Source!FX309/100)*((ROUND(Source!AF309*Source!I309, 2)+ROUND(Source!AE309*Source!I309, 2))), 2)</f>
        <v>0</v>
      </c>
      <c r="T631">
        <f>Source!X309</f>
        <v>0</v>
      </c>
      <c r="U631">
        <f>ROUND((Source!FY309/100)*((ROUND(Source!AF309*Source!I309, 2)+ROUND(Source!AE309*Source!I309, 2))), 2)</f>
        <v>0</v>
      </c>
      <c r="V631">
        <f>Source!Y309</f>
        <v>0</v>
      </c>
      <c r="W631">
        <f>IF(Source!BI309&lt;=1,H631, 0)</f>
        <v>4607.4799999999996</v>
      </c>
      <c r="X631">
        <f>IF(Source!BI309=2,H631, 0)</f>
        <v>0</v>
      </c>
      <c r="Y631">
        <f>IF(Source!BI309=3,H631, 0)</f>
        <v>0</v>
      </c>
      <c r="Z631">
        <f>IF(Source!BI309=4,H631, 0)</f>
        <v>0</v>
      </c>
    </row>
    <row r="632" spans="1:32" ht="42.75" x14ac:dyDescent="0.2">
      <c r="A632" s="42" t="str">
        <f>Source!E310</f>
        <v>55,2</v>
      </c>
      <c r="B632" s="43" t="str">
        <f>Source!F310</f>
        <v>01.7.15.03-0001</v>
      </c>
      <c r="C632" s="43" t="str">
        <f>Source!G310</f>
        <v>Болты анкерные из прямых или гнутых круглых стержней с резьбой, с гайками и шайбами</v>
      </c>
      <c r="D632" s="26" t="str">
        <f>Source!H310</f>
        <v>т</v>
      </c>
      <c r="E632" s="10">
        <f>Source!I310</f>
        <v>2.8E-3</v>
      </c>
      <c r="F632" s="27">
        <f>Source!AL310+Source!AM310+Source!AO310</f>
        <v>19803.650000000001</v>
      </c>
      <c r="G632" s="39" t="s">
        <v>3</v>
      </c>
      <c r="H632" s="27">
        <f>ROUND(Source!AC310*Source!I310, 2)+ROUND(Source!AD310*Source!I310, 2)+ROUND(Source!AF310*Source!I310, 2)</f>
        <v>55.45</v>
      </c>
      <c r="I632" s="28"/>
      <c r="J632" s="28">
        <f>IF(Source!BC310&lt;&gt; 0, Source!BC310, 1)</f>
        <v>6.13</v>
      </c>
      <c r="K632" s="27">
        <f>Source!O310</f>
        <v>339.91</v>
      </c>
      <c r="L632" s="29"/>
      <c r="S632">
        <f>ROUND((Source!FX310/100)*((ROUND(Source!AF310*Source!I310, 2)+ROUND(Source!AE310*Source!I310, 2))), 2)</f>
        <v>0</v>
      </c>
      <c r="T632">
        <f>Source!X310</f>
        <v>0</v>
      </c>
      <c r="U632">
        <f>ROUND((Source!FY310/100)*((ROUND(Source!AF310*Source!I310, 2)+ROUND(Source!AE310*Source!I310, 2))), 2)</f>
        <v>0</v>
      </c>
      <c r="V632">
        <f>Source!Y310</f>
        <v>0</v>
      </c>
      <c r="W632">
        <f>IF(Source!BI310&lt;=1,H632, 0)</f>
        <v>55.45</v>
      </c>
      <c r="X632">
        <f>IF(Source!BI310=2,H632, 0)</f>
        <v>0</v>
      </c>
      <c r="Y632">
        <f>IF(Source!BI310=3,H632, 0)</f>
        <v>0</v>
      </c>
      <c r="Z632">
        <f>IF(Source!BI310=4,H632, 0)</f>
        <v>0</v>
      </c>
    </row>
    <row r="633" spans="1:32" ht="14.25" x14ac:dyDescent="0.2">
      <c r="A633" s="44" t="str">
        <f>Source!E311</f>
        <v>55,3</v>
      </c>
      <c r="B633" s="45" t="str">
        <f>Source!F311</f>
        <v>01.7.15.02</v>
      </c>
      <c r="C633" s="45" t="str">
        <f>Source!G311</f>
        <v>Болты анкерные</v>
      </c>
      <c r="D633" s="32" t="str">
        <f>Source!H311</f>
        <v>т</v>
      </c>
      <c r="E633" s="33">
        <f>Source!I311</f>
        <v>2.8E-3</v>
      </c>
      <c r="F633" s="34">
        <f>Source!AL311+Source!AM311+Source!AO311</f>
        <v>0</v>
      </c>
      <c r="G633" s="40" t="s">
        <v>3</v>
      </c>
      <c r="H633" s="34">
        <f>ROUND(Source!AC311*Source!I311, 2)+ROUND(Source!AD311*Source!I311, 2)+ROUND(Source!AF311*Source!I311, 2)</f>
        <v>0</v>
      </c>
      <c r="I633" s="35"/>
      <c r="J633" s="35">
        <f>IF(Source!BC311&lt;&gt; 0, Source!BC311, 1)</f>
        <v>6.13</v>
      </c>
      <c r="K633" s="34">
        <f>Source!O311</f>
        <v>0</v>
      </c>
      <c r="L633" s="41"/>
      <c r="S633">
        <f>ROUND((Source!FX311/100)*((ROUND(Source!AF311*Source!I311, 2)+ROUND(Source!AE311*Source!I311, 2))), 2)</f>
        <v>0</v>
      </c>
      <c r="T633">
        <f>Source!X311</f>
        <v>0</v>
      </c>
      <c r="U633">
        <f>ROUND((Source!FY311/100)*((ROUND(Source!AF311*Source!I311, 2)+ROUND(Source!AE311*Source!I311, 2))), 2)</f>
        <v>0</v>
      </c>
      <c r="V633">
        <f>Source!Y311</f>
        <v>0</v>
      </c>
      <c r="W633">
        <f>IF(Source!BI311&lt;=1,H633, 0)</f>
        <v>0</v>
      </c>
      <c r="X633">
        <f>IF(Source!BI311=2,H633, 0)</f>
        <v>0</v>
      </c>
      <c r="Y633">
        <f>IF(Source!BI311=3,H633, 0)</f>
        <v>0</v>
      </c>
      <c r="Z633">
        <f>IF(Source!BI311=4,H633, 0)</f>
        <v>0</v>
      </c>
    </row>
    <row r="634" spans="1:32" ht="15" x14ac:dyDescent="0.25">
      <c r="G634" s="61">
        <f>H625+H626+H628+H629+SUM(H631:H633)</f>
        <v>5313.2499999999991</v>
      </c>
      <c r="H634" s="61"/>
      <c r="J634" s="61">
        <f>K625+K626+K628+K629+SUM(K631:K633)</f>
        <v>32573.51</v>
      </c>
      <c r="K634" s="61"/>
      <c r="L634" s="37">
        <f>Source!U308</f>
        <v>24.84</v>
      </c>
      <c r="O634" s="23">
        <f>G634</f>
        <v>5313.2499999999991</v>
      </c>
      <c r="P634" s="23">
        <f>J634</f>
        <v>32573.51</v>
      </c>
      <c r="Q634" s="23">
        <f>L634</f>
        <v>24.84</v>
      </c>
      <c r="W634">
        <f>IF(Source!BI308&lt;=1,H625+H626+H628+H629, 0)</f>
        <v>650.32000000000005</v>
      </c>
      <c r="X634">
        <f>IF(Source!BI308=2,H625+H626+H628+H629, 0)</f>
        <v>0</v>
      </c>
      <c r="Y634">
        <f>IF(Source!BI308=3,H625+H626+H628+H629, 0)</f>
        <v>0</v>
      </c>
      <c r="Z634">
        <f>IF(Source!BI308=4,H625+H626+H628+H629, 0)</f>
        <v>0</v>
      </c>
    </row>
    <row r="635" spans="1:32" ht="15" x14ac:dyDescent="0.25">
      <c r="A635" s="59" t="str">
        <f>CONCATENATE("Итого по разделу: ",IF(Source!G313&lt;&gt;"Новый раздел", Source!G313, ""))</f>
        <v>Итого по разделу: Система вентиляции и кондиционирования</v>
      </c>
      <c r="B635" s="59"/>
      <c r="C635" s="59"/>
      <c r="D635" s="59"/>
      <c r="E635" s="59"/>
      <c r="F635" s="59"/>
      <c r="G635" s="60">
        <f>SUM(O612:O634)</f>
        <v>5630.2199999999993</v>
      </c>
      <c r="H635" s="60"/>
      <c r="I635" s="24"/>
      <c r="J635" s="60">
        <f>SUM(P612:P634)</f>
        <v>34517.14</v>
      </c>
      <c r="K635" s="60"/>
      <c r="L635" s="37">
        <f>SUM(Q612:Q634)</f>
        <v>28.869599999999998</v>
      </c>
      <c r="AF635" s="48" t="str">
        <f>CONCATENATE("Итого по разделу: ",IF(Source!G313&lt;&gt;"Новый раздел", Source!G313, ""))</f>
        <v>Итого по разделу: Система вентиляции и кондиционирования</v>
      </c>
    </row>
    <row r="636" spans="1:32" ht="16.5" x14ac:dyDescent="0.25">
      <c r="A636" s="64" t="str">
        <f>CONCATENATE("Раздел: ",IF(Source!G342&lt;&gt;"Новый раздел", Source!G342, ""))</f>
        <v>Раздел: Система отопления</v>
      </c>
      <c r="B636" s="64"/>
      <c r="C636" s="64"/>
      <c r="D636" s="64"/>
      <c r="E636" s="64"/>
      <c r="F636" s="64"/>
      <c r="G636" s="64"/>
      <c r="H636" s="64"/>
      <c r="I636" s="64"/>
      <c r="J636" s="64"/>
      <c r="K636" s="64"/>
      <c r="L636" s="64"/>
    </row>
    <row r="637" spans="1:32" ht="14.25" x14ac:dyDescent="0.2">
      <c r="A637" s="42" t="str">
        <f>Source!E346</f>
        <v>56</v>
      </c>
      <c r="B637" s="43" t="str">
        <f>Source!F346</f>
        <v>65-19-2</v>
      </c>
      <c r="C637" s="43" t="str">
        <f>Source!G346</f>
        <v>Демонтаж радиаторов весом до 160 кг</v>
      </c>
      <c r="D637" s="26" t="str">
        <f>Source!H346</f>
        <v>100 ШТ</v>
      </c>
      <c r="E637" s="10">
        <f>Source!I346</f>
        <v>0.02</v>
      </c>
      <c r="F637" s="27">
        <f>Source!AL346+Source!AM346+Source!AO346</f>
        <v>1362.8700000000001</v>
      </c>
      <c r="G637" s="28"/>
      <c r="H637" s="27"/>
      <c r="I637" s="28" t="str">
        <f>Source!BO346</f>
        <v/>
      </c>
      <c r="J637" s="28"/>
      <c r="K637" s="27"/>
      <c r="L637" s="29"/>
      <c r="S637">
        <f>ROUND((Source!FX346/100)*((ROUND(Source!AF346*Source!I346, 2)+ROUND(Source!AE346*Source!I346, 2))), 2)</f>
        <v>19.170000000000002</v>
      </c>
      <c r="T637">
        <f>Source!X346</f>
        <v>117.49</v>
      </c>
      <c r="U637">
        <f>ROUND((Source!FY346/100)*((ROUND(Source!AF346*Source!I346, 2)+ROUND(Source!AE346*Source!I346, 2))), 2)</f>
        <v>12.95</v>
      </c>
      <c r="V637">
        <f>Source!Y346</f>
        <v>79.39</v>
      </c>
    </row>
    <row r="638" spans="1:32" x14ac:dyDescent="0.2">
      <c r="C638" s="22" t="str">
        <f>"Объем: "&amp;Source!I346&amp;"=2/"&amp;"100"</f>
        <v>Объем: 0,02=2/100</v>
      </c>
    </row>
    <row r="639" spans="1:32" ht="14.25" x14ac:dyDescent="0.2">
      <c r="A639" s="42"/>
      <c r="B639" s="43"/>
      <c r="C639" s="43" t="s">
        <v>1302</v>
      </c>
      <c r="D639" s="26"/>
      <c r="E639" s="10"/>
      <c r="F639" s="27">
        <f>Source!AO346</f>
        <v>1243.46</v>
      </c>
      <c r="G639" s="28" t="str">
        <f>Source!DG346</f>
        <v/>
      </c>
      <c r="H639" s="27">
        <f>ROUND(Source!AF346*Source!I346, 2)</f>
        <v>24.87</v>
      </c>
      <c r="I639" s="28"/>
      <c r="J639" s="28">
        <f>IF(Source!BA346&lt;&gt; 0, Source!BA346, 1)</f>
        <v>6.13</v>
      </c>
      <c r="K639" s="27">
        <f>Source!S346</f>
        <v>152.44999999999999</v>
      </c>
      <c r="L639" s="29"/>
      <c r="R639">
        <f>H639</f>
        <v>24.87</v>
      </c>
    </row>
    <row r="640" spans="1:32" ht="14.25" x14ac:dyDescent="0.2">
      <c r="A640" s="42"/>
      <c r="B640" s="43"/>
      <c r="C640" s="43" t="s">
        <v>334</v>
      </c>
      <c r="D640" s="26"/>
      <c r="E640" s="10"/>
      <c r="F640" s="27">
        <f>Source!AM346</f>
        <v>119.41</v>
      </c>
      <c r="G640" s="28" t="str">
        <f>Source!DE346</f>
        <v/>
      </c>
      <c r="H640" s="27">
        <f>ROUND(Source!AD346*Source!I346, 2)</f>
        <v>2.39</v>
      </c>
      <c r="I640" s="28"/>
      <c r="J640" s="28">
        <f>IF(Source!BB346&lt;&gt; 0, Source!BB346, 1)</f>
        <v>6.13</v>
      </c>
      <c r="K640" s="27">
        <f>Source!Q346</f>
        <v>14.64</v>
      </c>
      <c r="L640" s="29"/>
    </row>
    <row r="641" spans="1:26" ht="14.25" x14ac:dyDescent="0.2">
      <c r="A641" s="42"/>
      <c r="B641" s="43"/>
      <c r="C641" s="43" t="s">
        <v>1303</v>
      </c>
      <c r="D641" s="26"/>
      <c r="E641" s="10"/>
      <c r="F641" s="27">
        <f>Source!AN346</f>
        <v>51.57</v>
      </c>
      <c r="G641" s="28" t="str">
        <f>Source!DF346</f>
        <v/>
      </c>
      <c r="H641" s="30">
        <f>ROUND(Source!AE346*Source!I346, 2)</f>
        <v>1.03</v>
      </c>
      <c r="I641" s="28"/>
      <c r="J641" s="28">
        <f>IF(Source!BS346&lt;&gt; 0, Source!BS346, 1)</f>
        <v>6.13</v>
      </c>
      <c r="K641" s="30">
        <f>Source!R346</f>
        <v>6.32</v>
      </c>
      <c r="L641" s="29"/>
      <c r="R641">
        <f>H641</f>
        <v>1.03</v>
      </c>
    </row>
    <row r="642" spans="1:26" ht="14.25" x14ac:dyDescent="0.2">
      <c r="A642" s="42"/>
      <c r="B642" s="43"/>
      <c r="C642" s="43" t="s">
        <v>1304</v>
      </c>
      <c r="D642" s="26" t="s">
        <v>1305</v>
      </c>
      <c r="E642" s="10">
        <f>Source!BZ346</f>
        <v>74</v>
      </c>
      <c r="F642" s="46"/>
      <c r="G642" s="28"/>
      <c r="H642" s="27">
        <f>SUM(S637:S644)</f>
        <v>19.170000000000002</v>
      </c>
      <c r="I642" s="31"/>
      <c r="J642" s="25">
        <f>Source!AT346</f>
        <v>74</v>
      </c>
      <c r="K642" s="27">
        <f>SUM(T637:T644)</f>
        <v>117.49</v>
      </c>
      <c r="L642" s="29"/>
    </row>
    <row r="643" spans="1:26" ht="14.25" x14ac:dyDescent="0.2">
      <c r="A643" s="42"/>
      <c r="B643" s="43"/>
      <c r="C643" s="43" t="s">
        <v>1306</v>
      </c>
      <c r="D643" s="26" t="s">
        <v>1305</v>
      </c>
      <c r="E643" s="10">
        <f>Source!CA346</f>
        <v>50</v>
      </c>
      <c r="F643" s="46"/>
      <c r="G643" s="28"/>
      <c r="H643" s="27">
        <f>SUM(U637:U644)</f>
        <v>12.95</v>
      </c>
      <c r="I643" s="31"/>
      <c r="J643" s="25">
        <f>Source!AU346</f>
        <v>50</v>
      </c>
      <c r="K643" s="27">
        <f>SUM(V637:V644)</f>
        <v>79.39</v>
      </c>
      <c r="L643" s="29"/>
    </row>
    <row r="644" spans="1:26" ht="14.25" x14ac:dyDescent="0.2">
      <c r="A644" s="44"/>
      <c r="B644" s="45"/>
      <c r="C644" s="45" t="s">
        <v>1307</v>
      </c>
      <c r="D644" s="32" t="s">
        <v>1308</v>
      </c>
      <c r="E644" s="33">
        <f>Source!AQ346</f>
        <v>158</v>
      </c>
      <c r="F644" s="34"/>
      <c r="G644" s="35" t="str">
        <f>Source!DI346</f>
        <v/>
      </c>
      <c r="H644" s="34"/>
      <c r="I644" s="35"/>
      <c r="J644" s="35"/>
      <c r="K644" s="34"/>
      <c r="L644" s="36">
        <f>Source!U346</f>
        <v>3.16</v>
      </c>
    </row>
    <row r="645" spans="1:26" ht="15" x14ac:dyDescent="0.25">
      <c r="G645" s="61">
        <f>H639+H640+H642+H643</f>
        <v>59.38000000000001</v>
      </c>
      <c r="H645" s="61"/>
      <c r="J645" s="61">
        <f>K639+K640+K642+K643</f>
        <v>363.96999999999997</v>
      </c>
      <c r="K645" s="61"/>
      <c r="L645" s="37">
        <f>Source!U346</f>
        <v>3.16</v>
      </c>
      <c r="O645" s="23">
        <f>G645</f>
        <v>59.38000000000001</v>
      </c>
      <c r="P645" s="23">
        <f>J645</f>
        <v>363.96999999999997</v>
      </c>
      <c r="Q645" s="23">
        <f>L645</f>
        <v>3.16</v>
      </c>
      <c r="W645">
        <f>IF(Source!BI346&lt;=1,H639+H640+H642+H643, 0)</f>
        <v>59.38000000000001</v>
      </c>
      <c r="X645">
        <f>IF(Source!BI346=2,H639+H640+H642+H643, 0)</f>
        <v>0</v>
      </c>
      <c r="Y645">
        <f>IF(Source!BI346=3,H639+H640+H642+H643, 0)</f>
        <v>0</v>
      </c>
      <c r="Z645">
        <f>IF(Source!BI346=4,H639+H640+H642+H643, 0)</f>
        <v>0</v>
      </c>
    </row>
    <row r="646" spans="1:26" ht="42.75" x14ac:dyDescent="0.2">
      <c r="A646" s="42" t="str">
        <f>Source!E347</f>
        <v>57</v>
      </c>
      <c r="B646" s="43" t="str">
        <f>Source!F347</f>
        <v>65-1-1</v>
      </c>
      <c r="C646" s="43" t="str">
        <f>Source!G347</f>
        <v>Разборка трубопроводов из водогазопроводных труб диаметром до 32 мм</v>
      </c>
      <c r="D646" s="26" t="str">
        <f>Source!H347</f>
        <v>100 м</v>
      </c>
      <c r="E646" s="10">
        <f>Source!I347</f>
        <v>0.31</v>
      </c>
      <c r="F646" s="27">
        <f>Source!AL347+Source!AM347+Source!AO347</f>
        <v>328.71</v>
      </c>
      <c r="G646" s="28"/>
      <c r="H646" s="27"/>
      <c r="I646" s="28" t="str">
        <f>Source!BO347</f>
        <v/>
      </c>
      <c r="J646" s="28"/>
      <c r="K646" s="27"/>
      <c r="L646" s="29"/>
      <c r="S646">
        <f>ROUND((Source!FX347/100)*((ROUND(Source!AF347*Source!I347, 2)+ROUND(Source!AE347*Source!I347, 2))), 2)</f>
        <v>66.39</v>
      </c>
      <c r="T646">
        <f>Source!X347</f>
        <v>406.92</v>
      </c>
      <c r="U646">
        <f>ROUND((Source!FY347/100)*((ROUND(Source!AF347*Source!I347, 2)+ROUND(Source!AE347*Source!I347, 2))), 2)</f>
        <v>44.86</v>
      </c>
      <c r="V646">
        <f>Source!Y347</f>
        <v>274.95</v>
      </c>
    </row>
    <row r="647" spans="1:26" x14ac:dyDescent="0.2">
      <c r="C647" s="22" t="str">
        <f>"Объем: "&amp;Source!I347&amp;"=31/"&amp;"100"</f>
        <v>Объем: 0,31=31/100</v>
      </c>
    </row>
    <row r="648" spans="1:26" ht="14.25" x14ac:dyDescent="0.2">
      <c r="A648" s="42"/>
      <c r="B648" s="43"/>
      <c r="C648" s="43" t="s">
        <v>1302</v>
      </c>
      <c r="D648" s="26"/>
      <c r="E648" s="10"/>
      <c r="F648" s="27">
        <f>Source!AO347</f>
        <v>288.02</v>
      </c>
      <c r="G648" s="28" t="str">
        <f>Source!DG347</f>
        <v/>
      </c>
      <c r="H648" s="27">
        <f>ROUND(Source!AF347*Source!I347, 2)</f>
        <v>89.29</v>
      </c>
      <c r="I648" s="28"/>
      <c r="J648" s="28">
        <f>IF(Source!BA347&lt;&gt; 0, Source!BA347, 1)</f>
        <v>6.13</v>
      </c>
      <c r="K648" s="27">
        <f>Source!S347</f>
        <v>547.32000000000005</v>
      </c>
      <c r="L648" s="29"/>
      <c r="R648">
        <f>H648</f>
        <v>89.29</v>
      </c>
    </row>
    <row r="649" spans="1:26" ht="14.25" x14ac:dyDescent="0.2">
      <c r="A649" s="42"/>
      <c r="B649" s="43"/>
      <c r="C649" s="43" t="s">
        <v>334</v>
      </c>
      <c r="D649" s="26"/>
      <c r="E649" s="10"/>
      <c r="F649" s="27">
        <f>Source!AM347</f>
        <v>7.09</v>
      </c>
      <c r="G649" s="28" t="str">
        <f>Source!DE347</f>
        <v/>
      </c>
      <c r="H649" s="27">
        <f>ROUND(Source!AD347*Source!I347, 2)</f>
        <v>2.2000000000000002</v>
      </c>
      <c r="I649" s="28"/>
      <c r="J649" s="28">
        <f>IF(Source!BB347&lt;&gt; 0, Source!BB347, 1)</f>
        <v>6.13</v>
      </c>
      <c r="K649" s="27">
        <f>Source!Q347</f>
        <v>13.47</v>
      </c>
      <c r="L649" s="29"/>
    </row>
    <row r="650" spans="1:26" ht="14.25" x14ac:dyDescent="0.2">
      <c r="A650" s="42"/>
      <c r="B650" s="43"/>
      <c r="C650" s="43" t="s">
        <v>1303</v>
      </c>
      <c r="D650" s="26"/>
      <c r="E650" s="10"/>
      <c r="F650" s="27">
        <f>Source!AN347</f>
        <v>1.35</v>
      </c>
      <c r="G650" s="28" t="str">
        <f>Source!DF347</f>
        <v/>
      </c>
      <c r="H650" s="30">
        <f>ROUND(Source!AE347*Source!I347, 2)</f>
        <v>0.42</v>
      </c>
      <c r="I650" s="28"/>
      <c r="J650" s="28">
        <f>IF(Source!BS347&lt;&gt; 0, Source!BS347, 1)</f>
        <v>6.13</v>
      </c>
      <c r="K650" s="30">
        <f>Source!R347</f>
        <v>2.57</v>
      </c>
      <c r="L650" s="29"/>
      <c r="R650">
        <f>H650</f>
        <v>0.42</v>
      </c>
    </row>
    <row r="651" spans="1:26" ht="14.25" x14ac:dyDescent="0.2">
      <c r="A651" s="42"/>
      <c r="B651" s="43"/>
      <c r="C651" s="43" t="s">
        <v>1304</v>
      </c>
      <c r="D651" s="26" t="s">
        <v>1305</v>
      </c>
      <c r="E651" s="10">
        <f>Source!BZ347</f>
        <v>74</v>
      </c>
      <c r="F651" s="46"/>
      <c r="G651" s="28"/>
      <c r="H651" s="27">
        <f>SUM(S646:S653)</f>
        <v>66.39</v>
      </c>
      <c r="I651" s="31"/>
      <c r="J651" s="25">
        <f>Source!AT347</f>
        <v>74</v>
      </c>
      <c r="K651" s="27">
        <f>SUM(T646:T653)</f>
        <v>406.92</v>
      </c>
      <c r="L651" s="29"/>
    </row>
    <row r="652" spans="1:26" ht="14.25" x14ac:dyDescent="0.2">
      <c r="A652" s="42"/>
      <c r="B652" s="43"/>
      <c r="C652" s="43" t="s">
        <v>1306</v>
      </c>
      <c r="D652" s="26" t="s">
        <v>1305</v>
      </c>
      <c r="E652" s="10">
        <f>Source!CA347</f>
        <v>50</v>
      </c>
      <c r="F652" s="46"/>
      <c r="G652" s="28"/>
      <c r="H652" s="27">
        <f>SUM(U646:U653)</f>
        <v>44.86</v>
      </c>
      <c r="I652" s="31"/>
      <c r="J652" s="25">
        <f>Source!AU347</f>
        <v>50</v>
      </c>
      <c r="K652" s="27">
        <f>SUM(V646:V653)</f>
        <v>274.95</v>
      </c>
      <c r="L652" s="29"/>
    </row>
    <row r="653" spans="1:26" ht="14.25" x14ac:dyDescent="0.2">
      <c r="A653" s="44"/>
      <c r="B653" s="45"/>
      <c r="C653" s="45" t="s">
        <v>1307</v>
      </c>
      <c r="D653" s="32" t="s">
        <v>1308</v>
      </c>
      <c r="E653" s="33">
        <f>Source!AQ347</f>
        <v>34.659999999999997</v>
      </c>
      <c r="F653" s="34"/>
      <c r="G653" s="35" t="str">
        <f>Source!DI347</f>
        <v/>
      </c>
      <c r="H653" s="34"/>
      <c r="I653" s="35"/>
      <c r="J653" s="35"/>
      <c r="K653" s="34"/>
      <c r="L653" s="36">
        <f>Source!U347</f>
        <v>10.744599999999998</v>
      </c>
    </row>
    <row r="654" spans="1:26" ht="15" x14ac:dyDescent="0.25">
      <c r="G654" s="61">
        <f>H648+H649+H651+H652</f>
        <v>202.74</v>
      </c>
      <c r="H654" s="61"/>
      <c r="J654" s="61">
        <f>K648+K649+K651+K652</f>
        <v>1242.6600000000001</v>
      </c>
      <c r="K654" s="61"/>
      <c r="L654" s="37">
        <f>Source!U347</f>
        <v>10.744599999999998</v>
      </c>
      <c r="O654" s="23">
        <f>G654</f>
        <v>202.74</v>
      </c>
      <c r="P654" s="23">
        <f>J654</f>
        <v>1242.6600000000001</v>
      </c>
      <c r="Q654" s="23">
        <f>L654</f>
        <v>10.744599999999998</v>
      </c>
      <c r="W654">
        <f>IF(Source!BI347&lt;=1,H648+H649+H651+H652, 0)</f>
        <v>202.74</v>
      </c>
      <c r="X654">
        <f>IF(Source!BI347=2,H648+H649+H651+H652, 0)</f>
        <v>0</v>
      </c>
      <c r="Y654">
        <f>IF(Source!BI347=3,H648+H649+H651+H652, 0)</f>
        <v>0</v>
      </c>
      <c r="Z654">
        <f>IF(Source!BI347=4,H648+H649+H651+H652, 0)</f>
        <v>0</v>
      </c>
    </row>
    <row r="655" spans="1:26" ht="14.25" x14ac:dyDescent="0.2">
      <c r="A655" s="42" t="str">
        <f>Source!E348</f>
        <v>58</v>
      </c>
      <c r="B655" s="43" t="str">
        <f>Source!F348</f>
        <v>18-03-001-01</v>
      </c>
      <c r="C655" s="43" t="str">
        <f>Source!G348</f>
        <v>Установка радиаторов чугунных</v>
      </c>
      <c r="D655" s="26" t="str">
        <f>Source!H348</f>
        <v>100 квт</v>
      </c>
      <c r="E655" s="10">
        <f>Source!I348</f>
        <v>6.08E-2</v>
      </c>
      <c r="F655" s="27">
        <f>Source!AL348+Source!AM348+Source!AO348</f>
        <v>2111.5100000000002</v>
      </c>
      <c r="G655" s="28"/>
      <c r="H655" s="27"/>
      <c r="I655" s="28" t="str">
        <f>Source!BO348</f>
        <v/>
      </c>
      <c r="J655" s="28"/>
      <c r="K655" s="27"/>
      <c r="L655" s="29"/>
      <c r="S655">
        <f>ROUND((Source!FX348/100)*((ROUND(Source!AF348*Source!I348, 2)+ROUND(Source!AE348*Source!I348, 2))), 2)</f>
        <v>73.56</v>
      </c>
      <c r="T655">
        <f>Source!X348</f>
        <v>450.16</v>
      </c>
      <c r="U655">
        <f>ROUND((Source!FY348/100)*((ROUND(Source!AF348*Source!I348, 2)+ROUND(Source!AE348*Source!I348, 2))), 2)</f>
        <v>45.05</v>
      </c>
      <c r="V655">
        <f>Source!Y348</f>
        <v>277.92</v>
      </c>
    </row>
    <row r="656" spans="1:26" x14ac:dyDescent="0.2">
      <c r="C656" s="22" t="str">
        <f>"Объем: "&amp;Source!I348&amp;"=6,08/"&amp;"100"</f>
        <v>Объем: 0,0608=6,08/100</v>
      </c>
    </row>
    <row r="657" spans="1:26" ht="14.25" x14ac:dyDescent="0.2">
      <c r="A657" s="42"/>
      <c r="B657" s="43"/>
      <c r="C657" s="43" t="s">
        <v>1302</v>
      </c>
      <c r="D657" s="26"/>
      <c r="E657" s="10"/>
      <c r="F657" s="27">
        <f>Source!AO348</f>
        <v>679.03</v>
      </c>
      <c r="G657" s="28" t="str">
        <f>Source!DG348</f>
        <v>)*1,15)*1,2</v>
      </c>
      <c r="H657" s="27">
        <f>ROUND(Source!AF348*Source!I348, 2)</f>
        <v>56.97</v>
      </c>
      <c r="I657" s="28"/>
      <c r="J657" s="28">
        <f>IF(Source!BA348&lt;&gt; 0, Source!BA348, 1)</f>
        <v>6.13</v>
      </c>
      <c r="K657" s="27">
        <f>Source!S348</f>
        <v>349.25</v>
      </c>
      <c r="L657" s="29"/>
      <c r="R657">
        <f>H657</f>
        <v>56.97</v>
      </c>
    </row>
    <row r="658" spans="1:26" ht="14.25" x14ac:dyDescent="0.2">
      <c r="A658" s="42"/>
      <c r="B658" s="43"/>
      <c r="C658" s="43" t="s">
        <v>334</v>
      </c>
      <c r="D658" s="26"/>
      <c r="E658" s="10"/>
      <c r="F658" s="27">
        <f>Source!AM348</f>
        <v>315.8</v>
      </c>
      <c r="G658" s="28" t="str">
        <f>Source!DE348</f>
        <v>)*1,25)*1,2</v>
      </c>
      <c r="H658" s="27">
        <f>ROUND(Source!AD348*Source!I348, 2)</f>
        <v>28.8</v>
      </c>
      <c r="I658" s="28"/>
      <c r="J658" s="28">
        <f>IF(Source!BB348&lt;&gt; 0, Source!BB348, 1)</f>
        <v>6.13</v>
      </c>
      <c r="K658" s="27">
        <f>Source!Q348</f>
        <v>176.55</v>
      </c>
      <c r="L658" s="29"/>
    </row>
    <row r="659" spans="1:26" ht="14.25" x14ac:dyDescent="0.2">
      <c r="A659" s="42"/>
      <c r="B659" s="43"/>
      <c r="C659" s="43" t="s">
        <v>1303</v>
      </c>
      <c r="D659" s="26"/>
      <c r="E659" s="10"/>
      <c r="F659" s="27">
        <f>Source!AN348</f>
        <v>75.459999999999994</v>
      </c>
      <c r="G659" s="28" t="str">
        <f>Source!DF348</f>
        <v>)*1,25)*1,2</v>
      </c>
      <c r="H659" s="30">
        <f>ROUND(Source!AE348*Source!I348, 2)</f>
        <v>6.88</v>
      </c>
      <c r="I659" s="28"/>
      <c r="J659" s="28">
        <f>IF(Source!BS348&lt;&gt; 0, Source!BS348, 1)</f>
        <v>6.13</v>
      </c>
      <c r="K659" s="30">
        <f>Source!R348</f>
        <v>42.19</v>
      </c>
      <c r="L659" s="29"/>
      <c r="R659">
        <f>H659</f>
        <v>6.88</v>
      </c>
    </row>
    <row r="660" spans="1:26" ht="14.25" x14ac:dyDescent="0.2">
      <c r="A660" s="42"/>
      <c r="B660" s="43"/>
      <c r="C660" s="43" t="s">
        <v>1309</v>
      </c>
      <c r="D660" s="26"/>
      <c r="E660" s="10"/>
      <c r="F660" s="27">
        <f>Source!AL348</f>
        <v>1116.68</v>
      </c>
      <c r="G660" s="28" t="str">
        <f>Source!DD348</f>
        <v/>
      </c>
      <c r="H660" s="27">
        <f>ROUND(Source!AC348*Source!I348, 2)</f>
        <v>67.89</v>
      </c>
      <c r="I660" s="28"/>
      <c r="J660" s="28">
        <f>IF(Source!BC348&lt;&gt; 0, Source!BC348, 1)</f>
        <v>6.13</v>
      </c>
      <c r="K660" s="27">
        <f>Source!P348</f>
        <v>416.19</v>
      </c>
      <c r="L660" s="29"/>
    </row>
    <row r="661" spans="1:26" ht="14.25" x14ac:dyDescent="0.2">
      <c r="A661" s="42"/>
      <c r="B661" s="43"/>
      <c r="C661" s="43" t="s">
        <v>1304</v>
      </c>
      <c r="D661" s="26" t="s">
        <v>1305</v>
      </c>
      <c r="E661" s="10">
        <f>Source!BZ348</f>
        <v>128</v>
      </c>
      <c r="F661" s="50" t="str">
        <f>CONCATENATE(" )", Source!DL348, Source!FT348, "=", Source!FX348)</f>
        <v xml:space="preserve"> )*0,9=115,2</v>
      </c>
      <c r="G661" s="62"/>
      <c r="H661" s="27">
        <f>SUM(S655:S665)</f>
        <v>73.56</v>
      </c>
      <c r="I661" s="31"/>
      <c r="J661" s="25">
        <f>Source!AT348</f>
        <v>115</v>
      </c>
      <c r="K661" s="27">
        <f>SUM(T655:T665)</f>
        <v>450.16</v>
      </c>
      <c r="L661" s="29"/>
    </row>
    <row r="662" spans="1:26" ht="14.25" x14ac:dyDescent="0.2">
      <c r="A662" s="42"/>
      <c r="B662" s="43"/>
      <c r="C662" s="43" t="s">
        <v>1306</v>
      </c>
      <c r="D662" s="26" t="s">
        <v>1305</v>
      </c>
      <c r="E662" s="10">
        <f>Source!CA348</f>
        <v>83</v>
      </c>
      <c r="F662" s="50" t="str">
        <f>CONCATENATE(" )", Source!DM348, Source!FU348, "=", Source!FY348)</f>
        <v xml:space="preserve"> )*0,85=70,55</v>
      </c>
      <c r="G662" s="62"/>
      <c r="H662" s="27">
        <f>SUM(U655:U665)</f>
        <v>45.05</v>
      </c>
      <c r="I662" s="31"/>
      <c r="J662" s="25">
        <f>Source!AU348</f>
        <v>71</v>
      </c>
      <c r="K662" s="27">
        <f>SUM(V655:V665)</f>
        <v>277.92</v>
      </c>
      <c r="L662" s="29"/>
    </row>
    <row r="663" spans="1:26" ht="14.25" x14ac:dyDescent="0.2">
      <c r="A663" s="42"/>
      <c r="B663" s="43"/>
      <c r="C663" s="43" t="s">
        <v>1307</v>
      </c>
      <c r="D663" s="26" t="s">
        <v>1308</v>
      </c>
      <c r="E663" s="10">
        <f>Source!AQ348</f>
        <v>75.7</v>
      </c>
      <c r="F663" s="27"/>
      <c r="G663" s="28" t="str">
        <f>Source!DI348</f>
        <v>)*1,15)*1,2</v>
      </c>
      <c r="H663" s="27"/>
      <c r="I663" s="28"/>
      <c r="J663" s="28"/>
      <c r="K663" s="27"/>
      <c r="L663" s="38">
        <f>Source!U348</f>
        <v>6.3515327999999993</v>
      </c>
    </row>
    <row r="664" spans="1:26" ht="42.75" x14ac:dyDescent="0.2">
      <c r="A664" s="42" t="str">
        <f>Source!E349</f>
        <v>58,1</v>
      </c>
      <c r="B664" s="43" t="str">
        <f>Source!F349</f>
        <v>18.5.10.07-0008</v>
      </c>
      <c r="C664" s="43" t="str">
        <f>Source!G349</f>
        <v>Радиаторы отопительные чугунные марка МС-140, высота полная 588 мм, высота монтажная 500 мм</v>
      </c>
      <c r="D664" s="26" t="str">
        <f>Source!H349</f>
        <v>квт</v>
      </c>
      <c r="E664" s="10">
        <f>Source!I349</f>
        <v>6.08</v>
      </c>
      <c r="F664" s="27">
        <f>Source!AL349+Source!AM349+Source!AO349</f>
        <v>320</v>
      </c>
      <c r="G664" s="39" t="s">
        <v>3</v>
      </c>
      <c r="H664" s="27">
        <f>ROUND(Source!AC349*Source!I349, 2)+ROUND(Source!AD349*Source!I349, 2)+ROUND(Source!AF349*Source!I349, 2)</f>
        <v>1945.6</v>
      </c>
      <c r="I664" s="28"/>
      <c r="J664" s="28">
        <f>IF(Source!BC349&lt;&gt; 0, Source!BC349, 1)</f>
        <v>6.13</v>
      </c>
      <c r="K664" s="27">
        <f>Source!O349</f>
        <v>11926.53</v>
      </c>
      <c r="L664" s="29"/>
      <c r="S664">
        <f>ROUND((Source!FX349/100)*((ROUND(Source!AF349*Source!I349, 2)+ROUND(Source!AE349*Source!I349, 2))), 2)</f>
        <v>0</v>
      </c>
      <c r="T664">
        <f>Source!X349</f>
        <v>0</v>
      </c>
      <c r="U664">
        <f>ROUND((Source!FY349/100)*((ROUND(Source!AF349*Source!I349, 2)+ROUND(Source!AE349*Source!I349, 2))), 2)</f>
        <v>0</v>
      </c>
      <c r="V664">
        <f>Source!Y349</f>
        <v>0</v>
      </c>
      <c r="W664">
        <f>IF(Source!BI349&lt;=1,H664, 0)</f>
        <v>1945.6</v>
      </c>
      <c r="X664">
        <f>IF(Source!BI349=2,H664, 0)</f>
        <v>0</v>
      </c>
      <c r="Y664">
        <f>IF(Source!BI349=3,H664, 0)</f>
        <v>0</v>
      </c>
      <c r="Z664">
        <f>IF(Source!BI349=4,H664, 0)</f>
        <v>0</v>
      </c>
    </row>
    <row r="665" spans="1:26" ht="14.25" x14ac:dyDescent="0.2">
      <c r="A665" s="44" t="str">
        <f>Source!E350</f>
        <v>58,2</v>
      </c>
      <c r="B665" s="45" t="str">
        <f>Source!F350</f>
        <v>18.5.10.06</v>
      </c>
      <c r="C665" s="45" t="str">
        <f>Source!G350</f>
        <v>Радиаторы</v>
      </c>
      <c r="D665" s="32" t="str">
        <f>Source!H350</f>
        <v>квт</v>
      </c>
      <c r="E665" s="33">
        <f>Source!I350</f>
        <v>6.08</v>
      </c>
      <c r="F665" s="34">
        <f>Source!AL350+Source!AM350+Source!AO350</f>
        <v>0</v>
      </c>
      <c r="G665" s="40" t="s">
        <v>3</v>
      </c>
      <c r="H665" s="34">
        <f>ROUND(Source!AC350*Source!I350, 2)+ROUND(Source!AD350*Source!I350, 2)+ROUND(Source!AF350*Source!I350, 2)</f>
        <v>0</v>
      </c>
      <c r="I665" s="35"/>
      <c r="J665" s="35">
        <f>IF(Source!BC350&lt;&gt; 0, Source!BC350, 1)</f>
        <v>6.13</v>
      </c>
      <c r="K665" s="34">
        <f>Source!O350</f>
        <v>0</v>
      </c>
      <c r="L665" s="41"/>
      <c r="S665">
        <f>ROUND((Source!FX350/100)*((ROUND(Source!AF350*Source!I350, 2)+ROUND(Source!AE350*Source!I350, 2))), 2)</f>
        <v>0</v>
      </c>
      <c r="T665">
        <f>Source!X350</f>
        <v>0</v>
      </c>
      <c r="U665">
        <f>ROUND((Source!FY350/100)*((ROUND(Source!AF350*Source!I350, 2)+ROUND(Source!AE350*Source!I350, 2))), 2)</f>
        <v>0</v>
      </c>
      <c r="V665">
        <f>Source!Y350</f>
        <v>0</v>
      </c>
      <c r="W665">
        <f>IF(Source!BI350&lt;=1,H665, 0)</f>
        <v>0</v>
      </c>
      <c r="X665">
        <f>IF(Source!BI350=2,H665, 0)</f>
        <v>0</v>
      </c>
      <c r="Y665">
        <f>IF(Source!BI350=3,H665, 0)</f>
        <v>0</v>
      </c>
      <c r="Z665">
        <f>IF(Source!BI350=4,H665, 0)</f>
        <v>0</v>
      </c>
    </row>
    <row r="666" spans="1:26" ht="15" x14ac:dyDescent="0.25">
      <c r="G666" s="61">
        <f>H657+H658+H660+H661+H662+SUM(H664:H665)</f>
        <v>2217.87</v>
      </c>
      <c r="H666" s="61"/>
      <c r="J666" s="61">
        <f>K657+K658+K660+K661+K662+SUM(K664:K665)</f>
        <v>13596.6</v>
      </c>
      <c r="K666" s="61"/>
      <c r="L666" s="37">
        <f>Source!U348</f>
        <v>6.3515327999999993</v>
      </c>
      <c r="O666" s="23">
        <f>G666</f>
        <v>2217.87</v>
      </c>
      <c r="P666" s="23">
        <f>J666</f>
        <v>13596.6</v>
      </c>
      <c r="Q666" s="23">
        <f>L666</f>
        <v>6.3515327999999993</v>
      </c>
      <c r="W666">
        <f>IF(Source!BI348&lt;=1,H657+H658+H660+H661+H662, 0)</f>
        <v>272.27</v>
      </c>
      <c r="X666">
        <f>IF(Source!BI348=2,H657+H658+H660+H661+H662, 0)</f>
        <v>0</v>
      </c>
      <c r="Y666">
        <f>IF(Source!BI348=3,H657+H658+H660+H661+H662, 0)</f>
        <v>0</v>
      </c>
      <c r="Z666">
        <f>IF(Source!BI348=4,H657+H658+H660+H661+H662, 0)</f>
        <v>0</v>
      </c>
    </row>
    <row r="667" spans="1:26" ht="57" x14ac:dyDescent="0.2">
      <c r="A667" s="42" t="str">
        <f>Source!E351</f>
        <v>59</v>
      </c>
      <c r="B667" s="43" t="str">
        <f>Source!F351</f>
        <v>16-03-002-02</v>
      </c>
      <c r="C667" s="43" t="str">
        <f>Source!G351</f>
        <v>Прокладка трубопроводов водоснабжения из многослойных металлополимерных труб диаметром 20 мм</v>
      </c>
      <c r="D667" s="26" t="str">
        <f>Source!H351</f>
        <v>100 м</v>
      </c>
      <c r="E667" s="10">
        <f>Source!I351</f>
        <v>0.62</v>
      </c>
      <c r="F667" s="27">
        <f>Source!AL351+Source!AM351+Source!AO351</f>
        <v>1037.56</v>
      </c>
      <c r="G667" s="28"/>
      <c r="H667" s="27"/>
      <c r="I667" s="28" t="str">
        <f>Source!BO351</f>
        <v/>
      </c>
      <c r="J667" s="28"/>
      <c r="K667" s="27"/>
      <c r="L667" s="29"/>
      <c r="S667">
        <f>ROUND((Source!FX351/100)*((ROUND(Source!AF351*Source!I351, 2)+ROUND(Source!AE351*Source!I351, 2))), 2)</f>
        <v>996.47</v>
      </c>
      <c r="T667">
        <f>Source!X351</f>
        <v>6097.76</v>
      </c>
      <c r="U667">
        <f>ROUND((Source!FY351/100)*((ROUND(Source!AF351*Source!I351, 2)+ROUND(Source!AE351*Source!I351, 2))), 2)</f>
        <v>610.25</v>
      </c>
      <c r="V667">
        <f>Source!Y351</f>
        <v>3764.7</v>
      </c>
    </row>
    <row r="668" spans="1:26" x14ac:dyDescent="0.2">
      <c r="C668" s="22" t="str">
        <f>"Объем: "&amp;Source!I351&amp;"=62/"&amp;"100"</f>
        <v>Объем: 0,62=62/100</v>
      </c>
    </row>
    <row r="669" spans="1:26" ht="14.25" x14ac:dyDescent="0.2">
      <c r="A669" s="42"/>
      <c r="B669" s="43"/>
      <c r="C669" s="43" t="s">
        <v>1302</v>
      </c>
      <c r="D669" s="26"/>
      <c r="E669" s="10"/>
      <c r="F669" s="27">
        <f>Source!AO351</f>
        <v>1005.28</v>
      </c>
      <c r="G669" s="28" t="str">
        <f>Source!DG351</f>
        <v>)*1,15)*1,2</v>
      </c>
      <c r="H669" s="27">
        <f>ROUND(Source!AF351*Source!I351, 2)</f>
        <v>860.12</v>
      </c>
      <c r="I669" s="28"/>
      <c r="J669" s="28">
        <f>IF(Source!BA351&lt;&gt; 0, Source!BA351, 1)</f>
        <v>6.13</v>
      </c>
      <c r="K669" s="27">
        <f>Source!S351</f>
        <v>5272.53</v>
      </c>
      <c r="L669" s="29"/>
      <c r="R669">
        <f>H669</f>
        <v>860.12</v>
      </c>
    </row>
    <row r="670" spans="1:26" ht="14.25" x14ac:dyDescent="0.2">
      <c r="A670" s="42"/>
      <c r="B670" s="43"/>
      <c r="C670" s="43" t="s">
        <v>334</v>
      </c>
      <c r="D670" s="26"/>
      <c r="E670" s="10"/>
      <c r="F670" s="27">
        <f>Source!AM351</f>
        <v>31.13</v>
      </c>
      <c r="G670" s="28" t="str">
        <f>Source!DE351</f>
        <v>)*1,25)*1,2</v>
      </c>
      <c r="H670" s="27">
        <f>ROUND(Source!AD351*Source!I351, 2)</f>
        <v>28.95</v>
      </c>
      <c r="I670" s="28"/>
      <c r="J670" s="28">
        <f>IF(Source!BB351&lt;&gt; 0, Source!BB351, 1)</f>
        <v>6.13</v>
      </c>
      <c r="K670" s="27">
        <f>Source!Q351</f>
        <v>177.49</v>
      </c>
      <c r="L670" s="29"/>
    </row>
    <row r="671" spans="1:26" ht="14.25" x14ac:dyDescent="0.2">
      <c r="A671" s="42"/>
      <c r="B671" s="43"/>
      <c r="C671" s="43" t="s">
        <v>1303</v>
      </c>
      <c r="D671" s="26"/>
      <c r="E671" s="10"/>
      <c r="F671" s="27">
        <f>Source!AN351</f>
        <v>5.24</v>
      </c>
      <c r="G671" s="28" t="str">
        <f>Source!DF351</f>
        <v>)*1,25)*1,2</v>
      </c>
      <c r="H671" s="30">
        <f>ROUND(Source!AE351*Source!I351, 2)</f>
        <v>4.87</v>
      </c>
      <c r="I671" s="28"/>
      <c r="J671" s="28">
        <f>IF(Source!BS351&lt;&gt; 0, Source!BS351, 1)</f>
        <v>6.13</v>
      </c>
      <c r="K671" s="30">
        <f>Source!R351</f>
        <v>29.87</v>
      </c>
      <c r="L671" s="29"/>
      <c r="R671">
        <f>H671</f>
        <v>4.87</v>
      </c>
    </row>
    <row r="672" spans="1:26" ht="14.25" x14ac:dyDescent="0.2">
      <c r="A672" s="42"/>
      <c r="B672" s="43"/>
      <c r="C672" s="43" t="s">
        <v>1309</v>
      </c>
      <c r="D672" s="26"/>
      <c r="E672" s="10"/>
      <c r="F672" s="27">
        <f>Source!AL351</f>
        <v>1.1499999999999999</v>
      </c>
      <c r="G672" s="28" t="str">
        <f>Source!DD351</f>
        <v/>
      </c>
      <c r="H672" s="27">
        <f>ROUND(Source!AC351*Source!I351, 2)</f>
        <v>0.71</v>
      </c>
      <c r="I672" s="28"/>
      <c r="J672" s="28">
        <f>IF(Source!BC351&lt;&gt; 0, Source!BC351, 1)</f>
        <v>6.13</v>
      </c>
      <c r="K672" s="27">
        <f>Source!P351</f>
        <v>4.37</v>
      </c>
      <c r="L672" s="29"/>
    </row>
    <row r="673" spans="1:26" ht="14.25" x14ac:dyDescent="0.2">
      <c r="A673" s="42"/>
      <c r="B673" s="43"/>
      <c r="C673" s="43" t="s">
        <v>1304</v>
      </c>
      <c r="D673" s="26" t="s">
        <v>1305</v>
      </c>
      <c r="E673" s="10">
        <f>Source!BZ351</f>
        <v>128</v>
      </c>
      <c r="F673" s="50" t="str">
        <f>CONCATENATE(" )", Source!DL351, Source!FT351, "=", Source!FX351)</f>
        <v xml:space="preserve"> )*0,9=115,2</v>
      </c>
      <c r="G673" s="62"/>
      <c r="H673" s="27">
        <f>SUM(S667:S678)</f>
        <v>996.47</v>
      </c>
      <c r="I673" s="31"/>
      <c r="J673" s="25">
        <f>Source!AT351</f>
        <v>115</v>
      </c>
      <c r="K673" s="27">
        <f>SUM(T667:T678)</f>
        <v>6097.76</v>
      </c>
      <c r="L673" s="29"/>
    </row>
    <row r="674" spans="1:26" ht="14.25" x14ac:dyDescent="0.2">
      <c r="A674" s="42"/>
      <c r="B674" s="43"/>
      <c r="C674" s="43" t="s">
        <v>1306</v>
      </c>
      <c r="D674" s="26" t="s">
        <v>1305</v>
      </c>
      <c r="E674" s="10">
        <f>Source!CA351</f>
        <v>83</v>
      </c>
      <c r="F674" s="50" t="str">
        <f>CONCATENATE(" )", Source!DM351, Source!FU351, "=", Source!FY351)</f>
        <v xml:space="preserve"> )*0,85=70,55</v>
      </c>
      <c r="G674" s="62"/>
      <c r="H674" s="27">
        <f>SUM(U667:U678)</f>
        <v>610.25</v>
      </c>
      <c r="I674" s="31"/>
      <c r="J674" s="25">
        <f>Source!AU351</f>
        <v>71</v>
      </c>
      <c r="K674" s="27">
        <f>SUM(V667:V678)</f>
        <v>3764.7</v>
      </c>
      <c r="L674" s="29"/>
    </row>
    <row r="675" spans="1:26" ht="14.25" x14ac:dyDescent="0.2">
      <c r="A675" s="42"/>
      <c r="B675" s="43"/>
      <c r="C675" s="43" t="s">
        <v>1307</v>
      </c>
      <c r="D675" s="26" t="s">
        <v>1308</v>
      </c>
      <c r="E675" s="10">
        <f>Source!AQ351</f>
        <v>103</v>
      </c>
      <c r="F675" s="27"/>
      <c r="G675" s="28" t="str">
        <f>Source!DI351</f>
        <v>)*1,15)*1,2</v>
      </c>
      <c r="H675" s="27"/>
      <c r="I675" s="28"/>
      <c r="J675" s="28"/>
      <c r="K675" s="27"/>
      <c r="L675" s="38">
        <f>Source!U351</f>
        <v>88.126799999999989</v>
      </c>
    </row>
    <row r="676" spans="1:26" ht="28.5" x14ac:dyDescent="0.2">
      <c r="A676" s="42" t="str">
        <f>Source!E352</f>
        <v>59,1</v>
      </c>
      <c r="B676" s="43" t="str">
        <f>Source!F352</f>
        <v>24.1.02.01-0013</v>
      </c>
      <c r="C676" s="43" t="str">
        <f>Source!G352</f>
        <v>Хомут FRS системы крепежа трубопроводов, размером 20-24 мм</v>
      </c>
      <c r="D676" s="26" t="str">
        <f>Source!H352</f>
        <v>10 шт.</v>
      </c>
      <c r="E676" s="10">
        <f>Source!I352</f>
        <v>3</v>
      </c>
      <c r="F676" s="27">
        <f>Source!AL352+Source!AM352+Source!AO352</f>
        <v>131.19999999999999</v>
      </c>
      <c r="G676" s="39" t="s">
        <v>3</v>
      </c>
      <c r="H676" s="27">
        <f>ROUND(Source!AC352*Source!I352, 2)+ROUND(Source!AD352*Source!I352, 2)+ROUND(Source!AF352*Source!I352, 2)</f>
        <v>393.6</v>
      </c>
      <c r="I676" s="28"/>
      <c r="J676" s="28">
        <f>IF(Source!BC352&lt;&gt; 0, Source!BC352, 1)</f>
        <v>6.13</v>
      </c>
      <c r="K676" s="27">
        <f>Source!O352</f>
        <v>2412.77</v>
      </c>
      <c r="L676" s="29"/>
      <c r="S676">
        <f>ROUND((Source!FX352/100)*((ROUND(Source!AF352*Source!I352, 2)+ROUND(Source!AE352*Source!I352, 2))), 2)</f>
        <v>0</v>
      </c>
      <c r="T676">
        <f>Source!X352</f>
        <v>0</v>
      </c>
      <c r="U676">
        <f>ROUND((Source!FY352/100)*((ROUND(Source!AF352*Source!I352, 2)+ROUND(Source!AE352*Source!I352, 2))), 2)</f>
        <v>0</v>
      </c>
      <c r="V676">
        <f>Source!Y352</f>
        <v>0</v>
      </c>
      <c r="W676">
        <f>IF(Source!BI352&lt;=1,H676, 0)</f>
        <v>393.6</v>
      </c>
      <c r="X676">
        <f>IF(Source!BI352=2,H676, 0)</f>
        <v>0</v>
      </c>
      <c r="Y676">
        <f>IF(Source!BI352=3,H676, 0)</f>
        <v>0</v>
      </c>
      <c r="Z676">
        <f>IF(Source!BI352=4,H676, 0)</f>
        <v>0</v>
      </c>
    </row>
    <row r="677" spans="1:26" ht="71.25" x14ac:dyDescent="0.2">
      <c r="A677" s="42" t="str">
        <f>Source!E353</f>
        <v>59,2</v>
      </c>
      <c r="B677" s="43" t="str">
        <f>Source!F353</f>
        <v>24.3.02.01-0002</v>
      </c>
      <c r="C677" s="43" t="str">
        <f>Source!G353</f>
        <v>Трубопроводы напорные из  с гильзами и креплениями для холодного и горячего водоснабжения PN10 SDR 11, диаметром 20 мм, толщина стенки 1,9 мм</v>
      </c>
      <c r="D677" s="26" t="str">
        <f>Source!H353</f>
        <v>м</v>
      </c>
      <c r="E677" s="10">
        <f>Source!I353</f>
        <v>62</v>
      </c>
      <c r="F677" s="27">
        <f>Source!AL353+Source!AM353+Source!AO353</f>
        <v>4.5999999999999996</v>
      </c>
      <c r="G677" s="39" t="s">
        <v>3</v>
      </c>
      <c r="H677" s="27">
        <f>ROUND(Source!AC353*Source!I353, 2)+ROUND(Source!AD353*Source!I353, 2)+ROUND(Source!AF353*Source!I353, 2)</f>
        <v>285.2</v>
      </c>
      <c r="I677" s="28"/>
      <c r="J677" s="28">
        <f>IF(Source!BC353&lt;&gt; 0, Source!BC353, 1)</f>
        <v>6.13</v>
      </c>
      <c r="K677" s="27">
        <f>Source!O353</f>
        <v>1748.28</v>
      </c>
      <c r="L677" s="29"/>
      <c r="S677">
        <f>ROUND((Source!FX353/100)*((ROUND(Source!AF353*Source!I353, 2)+ROUND(Source!AE353*Source!I353, 2))), 2)</f>
        <v>0</v>
      </c>
      <c r="T677">
        <f>Source!X353</f>
        <v>0</v>
      </c>
      <c r="U677">
        <f>ROUND((Source!FY353/100)*((ROUND(Source!AF353*Source!I353, 2)+ROUND(Source!AE353*Source!I353, 2))), 2)</f>
        <v>0</v>
      </c>
      <c r="V677">
        <f>Source!Y353</f>
        <v>0</v>
      </c>
      <c r="W677">
        <f>IF(Source!BI353&lt;=1,H677, 0)</f>
        <v>285.2</v>
      </c>
      <c r="X677">
        <f>IF(Source!BI353=2,H677, 0)</f>
        <v>0</v>
      </c>
      <c r="Y677">
        <f>IF(Source!BI353=3,H677, 0)</f>
        <v>0</v>
      </c>
      <c r="Z677">
        <f>IF(Source!BI353=4,H677, 0)</f>
        <v>0</v>
      </c>
    </row>
    <row r="678" spans="1:26" ht="28.5" x14ac:dyDescent="0.2">
      <c r="A678" s="44" t="str">
        <f>Source!E354</f>
        <v>59,3</v>
      </c>
      <c r="B678" s="45" t="str">
        <f>Source!F354</f>
        <v>24.2.02.01</v>
      </c>
      <c r="C678" s="45" t="str">
        <f>Source!G354</f>
        <v>Трубы металлополимерные многослойные</v>
      </c>
      <c r="D678" s="32" t="str">
        <f>Source!H354</f>
        <v>м</v>
      </c>
      <c r="E678" s="33">
        <f>Source!I354</f>
        <v>62</v>
      </c>
      <c r="F678" s="34">
        <f>Source!AL354+Source!AM354+Source!AO354</f>
        <v>0</v>
      </c>
      <c r="G678" s="40" t="s">
        <v>3</v>
      </c>
      <c r="H678" s="34">
        <f>ROUND(Source!AC354*Source!I354, 2)+ROUND(Source!AD354*Source!I354, 2)+ROUND(Source!AF354*Source!I354, 2)</f>
        <v>0</v>
      </c>
      <c r="I678" s="35"/>
      <c r="J678" s="35">
        <f>IF(Source!BC354&lt;&gt; 0, Source!BC354, 1)</f>
        <v>6.13</v>
      </c>
      <c r="K678" s="34">
        <f>Source!O354</f>
        <v>0</v>
      </c>
      <c r="L678" s="41"/>
      <c r="S678">
        <f>ROUND((Source!FX354/100)*((ROUND(Source!AF354*Source!I354, 2)+ROUND(Source!AE354*Source!I354, 2))), 2)</f>
        <v>0</v>
      </c>
      <c r="T678">
        <f>Source!X354</f>
        <v>0</v>
      </c>
      <c r="U678">
        <f>ROUND((Source!FY354/100)*((ROUND(Source!AF354*Source!I354, 2)+ROUND(Source!AE354*Source!I354, 2))), 2)</f>
        <v>0</v>
      </c>
      <c r="V678">
        <f>Source!Y354</f>
        <v>0</v>
      </c>
      <c r="W678">
        <f>IF(Source!BI354&lt;=1,H678, 0)</f>
        <v>0</v>
      </c>
      <c r="X678">
        <f>IF(Source!BI354=2,H678, 0)</f>
        <v>0</v>
      </c>
      <c r="Y678">
        <f>IF(Source!BI354=3,H678, 0)</f>
        <v>0</v>
      </c>
      <c r="Z678">
        <f>IF(Source!BI354=4,H678, 0)</f>
        <v>0</v>
      </c>
    </row>
    <row r="679" spans="1:26" ht="15" x14ac:dyDescent="0.25">
      <c r="G679" s="61">
        <f>H669+H670+H672+H673+H674+SUM(H676:H678)</f>
        <v>3175.3</v>
      </c>
      <c r="H679" s="61"/>
      <c r="J679" s="61">
        <f>K669+K670+K672+K673+K674+SUM(K676:K678)</f>
        <v>19477.899999999998</v>
      </c>
      <c r="K679" s="61"/>
      <c r="L679" s="37">
        <f>Source!U351</f>
        <v>88.126799999999989</v>
      </c>
      <c r="O679" s="23">
        <f>G679</f>
        <v>3175.3</v>
      </c>
      <c r="P679" s="23">
        <f>J679</f>
        <v>19477.899999999998</v>
      </c>
      <c r="Q679" s="23">
        <f>L679</f>
        <v>88.126799999999989</v>
      </c>
      <c r="W679">
        <f>IF(Source!BI351&lt;=1,H669+H670+H672+H673+H674, 0)</f>
        <v>2496.5</v>
      </c>
      <c r="X679">
        <f>IF(Source!BI351=2,H669+H670+H672+H673+H674, 0)</f>
        <v>0</v>
      </c>
      <c r="Y679">
        <f>IF(Source!BI351=3,H669+H670+H672+H673+H674, 0)</f>
        <v>0</v>
      </c>
      <c r="Z679">
        <f>IF(Source!BI351=4,H669+H670+H672+H673+H674, 0)</f>
        <v>0</v>
      </c>
    </row>
    <row r="680" spans="1:26" ht="42.75" x14ac:dyDescent="0.2">
      <c r="A680" s="44" t="str">
        <f>Source!E355</f>
        <v>60</v>
      </c>
      <c r="B680" s="45" t="str">
        <f>Source!F355</f>
        <v>т01-01-01-041</v>
      </c>
      <c r="C680" s="45" t="str">
        <f>Source!G355</f>
        <v>Погрузочные работы при автомобильных перевозках мусора строительного с погрузкой вручную</v>
      </c>
      <c r="D680" s="32" t="str">
        <f>Source!H355</f>
        <v>1 Т ГРУЗА</v>
      </c>
      <c r="E680" s="33">
        <f>Source!I355</f>
        <v>4</v>
      </c>
      <c r="F680" s="34">
        <f>Source!AL355+Source!AM355+Source!AO355</f>
        <v>0</v>
      </c>
      <c r="G680" s="35"/>
      <c r="H680" s="34"/>
      <c r="I680" s="35" t="str">
        <f>Source!BO355</f>
        <v/>
      </c>
      <c r="J680" s="35"/>
      <c r="K680" s="34"/>
      <c r="L680" s="41"/>
      <c r="S680">
        <f>ROUND((Source!FX355/100)*((ROUND(Source!AF355*Source!I355, 2)+ROUND(Source!AE355*Source!I355, 2))), 2)</f>
        <v>0</v>
      </c>
      <c r="T680">
        <f>Source!X355</f>
        <v>0</v>
      </c>
      <c r="U680">
        <f>ROUND((Source!FY355/100)*((ROUND(Source!AF355*Source!I355, 2)+ROUND(Source!AE355*Source!I355, 2))), 2)</f>
        <v>0</v>
      </c>
      <c r="V680">
        <f>Source!Y355</f>
        <v>0</v>
      </c>
    </row>
    <row r="681" spans="1:26" ht="15" x14ac:dyDescent="0.25">
      <c r="G681" s="61">
        <f>H680</f>
        <v>0</v>
      </c>
      <c r="H681" s="61"/>
      <c r="J681" s="61">
        <f>K680</f>
        <v>0</v>
      </c>
      <c r="K681" s="61"/>
      <c r="L681" s="37">
        <f>Source!U355</f>
        <v>0</v>
      </c>
      <c r="O681" s="23">
        <f>G681</f>
        <v>0</v>
      </c>
      <c r="P681" s="23">
        <f>J681</f>
        <v>0</v>
      </c>
      <c r="Q681" s="23">
        <f>L681</f>
        <v>0</v>
      </c>
      <c r="W681">
        <f>IF(Source!BI355&lt;=1,H680, 0)</f>
        <v>0</v>
      </c>
      <c r="X681">
        <f>IF(Source!BI355=2,H680, 0)</f>
        <v>0</v>
      </c>
      <c r="Y681">
        <f>IF(Source!BI355=3,H680, 0)</f>
        <v>0</v>
      </c>
      <c r="Z681">
        <f>IF(Source!BI355=4,H680, 0)</f>
        <v>0</v>
      </c>
    </row>
    <row r="682" spans="1:26" ht="57" x14ac:dyDescent="0.2">
      <c r="A682" s="44" t="str">
        <f>Source!E356</f>
        <v>61</v>
      </c>
      <c r="B682" s="45" t="str">
        <f>Source!F356</f>
        <v>т03-01-02-005</v>
      </c>
      <c r="C682" s="45" t="str">
        <f>Source!G356</f>
        <v>Перевозка грузов II класса автомобилями бортовыми грузоподъемностью до 15 т на расстояние до 5 км</v>
      </c>
      <c r="D682" s="32" t="str">
        <f>Source!H356</f>
        <v>1 Т ГРУЗА</v>
      </c>
      <c r="E682" s="33">
        <f>Source!I356</f>
        <v>4</v>
      </c>
      <c r="F682" s="34">
        <f>Source!AL356+Source!AM356+Source!AO356</f>
        <v>0</v>
      </c>
      <c r="G682" s="35"/>
      <c r="H682" s="34"/>
      <c r="I682" s="35" t="str">
        <f>Source!BO356</f>
        <v/>
      </c>
      <c r="J682" s="35"/>
      <c r="K682" s="34"/>
      <c r="L682" s="41"/>
      <c r="S682">
        <f>ROUND((Source!FX356/100)*((ROUND(Source!AF356*Source!I356, 2)+ROUND(Source!AE356*Source!I356, 2))), 2)</f>
        <v>0</v>
      </c>
      <c r="T682">
        <f>Source!X356</f>
        <v>0</v>
      </c>
      <c r="U682">
        <f>ROUND((Source!FY356/100)*((ROUND(Source!AF356*Source!I356, 2)+ROUND(Source!AE356*Source!I356, 2))), 2)</f>
        <v>0</v>
      </c>
      <c r="V682">
        <f>Source!Y356</f>
        <v>0</v>
      </c>
    </row>
    <row r="683" spans="1:26" ht="15" x14ac:dyDescent="0.25">
      <c r="G683" s="61">
        <f>H682</f>
        <v>0</v>
      </c>
      <c r="H683" s="61"/>
      <c r="J683" s="61">
        <f>K682</f>
        <v>0</v>
      </c>
      <c r="K683" s="61"/>
      <c r="L683" s="37">
        <f>Source!U356</f>
        <v>0</v>
      </c>
      <c r="O683" s="23">
        <f>G683</f>
        <v>0</v>
      </c>
      <c r="P683" s="23">
        <f>J683</f>
        <v>0</v>
      </c>
      <c r="Q683" s="23">
        <f>L683</f>
        <v>0</v>
      </c>
      <c r="W683">
        <f>IF(Source!BI356&lt;=1,H682, 0)</f>
        <v>0</v>
      </c>
      <c r="X683">
        <f>IF(Source!BI356=2,H682, 0)</f>
        <v>0</v>
      </c>
      <c r="Y683">
        <f>IF(Source!BI356=3,H682, 0)</f>
        <v>0</v>
      </c>
      <c r="Z683">
        <f>IF(Source!BI356=4,H682, 0)</f>
        <v>0</v>
      </c>
    </row>
    <row r="684" spans="1:26" ht="15" x14ac:dyDescent="0.25">
      <c r="A684" s="59" t="str">
        <f>CONCATENATE("Итого по разделу: ",IF(Source!G358&lt;&gt;"Новый раздел", Source!G358, ""))</f>
        <v>Итого по разделу: Система отопления</v>
      </c>
      <c r="B684" s="59"/>
      <c r="C684" s="59"/>
      <c r="D684" s="59"/>
      <c r="E684" s="59"/>
      <c r="F684" s="59"/>
      <c r="G684" s="60">
        <f>SUM(O636:O683)</f>
        <v>5655.29</v>
      </c>
      <c r="H684" s="60"/>
      <c r="I684" s="24"/>
      <c r="J684" s="60">
        <f>SUM(P636:P683)</f>
        <v>34681.129999999997</v>
      </c>
      <c r="K684" s="60"/>
      <c r="L684" s="37">
        <f>SUM(Q636:Q683)</f>
        <v>108.38293279999999</v>
      </c>
    </row>
    <row r="685" spans="1:26" ht="15" x14ac:dyDescent="0.25">
      <c r="A685" s="59" t="str">
        <f>CONCATENATE("Итого по локальной смете: ",IF(Source!G387&lt;&gt;"Новая локальная смета", Source!G387, ""))</f>
        <v xml:space="preserve">Итого по локальной смете: </v>
      </c>
      <c r="B685" s="59"/>
      <c r="C685" s="59"/>
      <c r="D685" s="59"/>
      <c r="E685" s="59"/>
      <c r="F685" s="59"/>
      <c r="G685" s="60">
        <f>SUM(O24:O684)</f>
        <v>203534.74000000005</v>
      </c>
      <c r="H685" s="60"/>
      <c r="I685" s="24"/>
      <c r="J685" s="60">
        <f>SUM(P24:P684)</f>
        <v>1250232.22</v>
      </c>
      <c r="K685" s="60"/>
      <c r="L685" s="37">
        <f>SUM(Q24:Q684)</f>
        <v>1812.5792505999998</v>
      </c>
    </row>
    <row r="686" spans="1:26" ht="15" x14ac:dyDescent="0.25">
      <c r="C686" s="59" t="str">
        <f>Source!H415</f>
        <v>Итого</v>
      </c>
      <c r="D686" s="59"/>
      <c r="E686" s="59"/>
      <c r="F686" s="59"/>
      <c r="G686" s="59"/>
      <c r="H686" s="59"/>
      <c r="I686" s="59"/>
      <c r="J686" s="60">
        <f>IF(Source!F415=0, "", Source!F415)</f>
        <v>1250232.22</v>
      </c>
      <c r="K686" s="60"/>
    </row>
    <row r="687" spans="1:26" ht="14.25" x14ac:dyDescent="0.2">
      <c r="C687" s="63" t="str">
        <f>Source!H416</f>
        <v>НДС 18%</v>
      </c>
      <c r="D687" s="63"/>
      <c r="E687" s="63"/>
      <c r="F687" s="63"/>
      <c r="G687" s="63"/>
      <c r="H687" s="63"/>
      <c r="I687" s="63"/>
      <c r="J687" s="52">
        <f>IF(Source!F416=0, "", Source!F416)</f>
        <v>225041.8</v>
      </c>
      <c r="K687" s="52"/>
    </row>
    <row r="688" spans="1:26" ht="15" x14ac:dyDescent="0.25">
      <c r="C688" s="59" t="str">
        <f>Source!H417</f>
        <v>Всего</v>
      </c>
      <c r="D688" s="59"/>
      <c r="E688" s="59"/>
      <c r="F688" s="59"/>
      <c r="G688" s="59"/>
      <c r="H688" s="59"/>
      <c r="I688" s="59"/>
      <c r="J688" s="60">
        <f>IF(Source!F417=0, "", Source!F417)</f>
        <v>1475274.02</v>
      </c>
      <c r="K688" s="60"/>
    </row>
  </sheetData>
  <mergeCells count="265">
    <mergeCell ref="J683:K683"/>
    <mergeCell ref="G683:H683"/>
    <mergeCell ref="J681:K681"/>
    <mergeCell ref="J634:K634"/>
    <mergeCell ref="G634:H634"/>
    <mergeCell ref="F629:G629"/>
    <mergeCell ref="F628:G628"/>
    <mergeCell ref="G685:H685"/>
    <mergeCell ref="J685:K685"/>
    <mergeCell ref="A685:F685"/>
    <mergeCell ref="G684:H684"/>
    <mergeCell ref="J684:K684"/>
    <mergeCell ref="A684:F684"/>
    <mergeCell ref="J654:K654"/>
    <mergeCell ref="G654:H654"/>
    <mergeCell ref="J645:K645"/>
    <mergeCell ref="G645:H645"/>
    <mergeCell ref="A636:L636"/>
    <mergeCell ref="G635:H635"/>
    <mergeCell ref="J635:K635"/>
    <mergeCell ref="A635:F635"/>
    <mergeCell ref="G681:H681"/>
    <mergeCell ref="J679:K679"/>
    <mergeCell ref="G679:H679"/>
    <mergeCell ref="F674:G674"/>
    <mergeCell ref="F673:G673"/>
    <mergeCell ref="J666:K666"/>
    <mergeCell ref="G666:H666"/>
    <mergeCell ref="F662:G662"/>
    <mergeCell ref="F661:G661"/>
    <mergeCell ref="F513:G513"/>
    <mergeCell ref="J506:K506"/>
    <mergeCell ref="G506:H506"/>
    <mergeCell ref="G543:H543"/>
    <mergeCell ref="F539:G539"/>
    <mergeCell ref="F538:G538"/>
    <mergeCell ref="J531:K531"/>
    <mergeCell ref="G531:H531"/>
    <mergeCell ref="F528:G528"/>
    <mergeCell ref="J623:K623"/>
    <mergeCell ref="G623:H623"/>
    <mergeCell ref="F619:G619"/>
    <mergeCell ref="F618:G618"/>
    <mergeCell ref="A612:L612"/>
    <mergeCell ref="G611:H611"/>
    <mergeCell ref="J611:K611"/>
    <mergeCell ref="A611:F611"/>
    <mergeCell ref="F527:G527"/>
    <mergeCell ref="J567:K567"/>
    <mergeCell ref="F590:G590"/>
    <mergeCell ref="F589:G589"/>
    <mergeCell ref="J582:K582"/>
    <mergeCell ref="G582:H582"/>
    <mergeCell ref="F575:G575"/>
    <mergeCell ref="F574:G574"/>
    <mergeCell ref="J610:K610"/>
    <mergeCell ref="G610:H610"/>
    <mergeCell ref="F602:G602"/>
    <mergeCell ref="F601:G601"/>
    <mergeCell ref="J594:K594"/>
    <mergeCell ref="G594:H594"/>
    <mergeCell ref="J434:K434"/>
    <mergeCell ref="G434:H434"/>
    <mergeCell ref="J454:K454"/>
    <mergeCell ref="G454:H454"/>
    <mergeCell ref="J443:K443"/>
    <mergeCell ref="G443:H443"/>
    <mergeCell ref="G567:H567"/>
    <mergeCell ref="J558:K558"/>
    <mergeCell ref="G558:H558"/>
    <mergeCell ref="F549:G549"/>
    <mergeCell ref="F548:G548"/>
    <mergeCell ref="J543:K543"/>
    <mergeCell ref="G473:H473"/>
    <mergeCell ref="A467:L467"/>
    <mergeCell ref="G466:H466"/>
    <mergeCell ref="J466:K466"/>
    <mergeCell ref="A466:F466"/>
    <mergeCell ref="J465:K465"/>
    <mergeCell ref="G465:H465"/>
    <mergeCell ref="J497:K497"/>
    <mergeCell ref="G497:H497"/>
    <mergeCell ref="J521:K521"/>
    <mergeCell ref="G521:H521"/>
    <mergeCell ref="F514:G514"/>
    <mergeCell ref="A488:L488"/>
    <mergeCell ref="G487:H487"/>
    <mergeCell ref="J487:K487"/>
    <mergeCell ref="A487:F487"/>
    <mergeCell ref="J486:K486"/>
    <mergeCell ref="G486:H486"/>
    <mergeCell ref="J480:K480"/>
    <mergeCell ref="G480:H480"/>
    <mergeCell ref="J473:K473"/>
    <mergeCell ref="J423:K423"/>
    <mergeCell ref="G423:H423"/>
    <mergeCell ref="J412:K412"/>
    <mergeCell ref="G412:H412"/>
    <mergeCell ref="F300:G300"/>
    <mergeCell ref="F299:G299"/>
    <mergeCell ref="J292:K292"/>
    <mergeCell ref="G292:H292"/>
    <mergeCell ref="F289:G289"/>
    <mergeCell ref="J339:K339"/>
    <mergeCell ref="J372:K372"/>
    <mergeCell ref="G372:H372"/>
    <mergeCell ref="J361:K361"/>
    <mergeCell ref="G361:H361"/>
    <mergeCell ref="J350:K350"/>
    <mergeCell ref="G350:H350"/>
    <mergeCell ref="J402:K402"/>
    <mergeCell ref="G402:H402"/>
    <mergeCell ref="J391:K391"/>
    <mergeCell ref="G391:H391"/>
    <mergeCell ref="J380:K380"/>
    <mergeCell ref="G380:H380"/>
    <mergeCell ref="F288:G288"/>
    <mergeCell ref="J316:K316"/>
    <mergeCell ref="G316:H316"/>
    <mergeCell ref="F310:G310"/>
    <mergeCell ref="F309:G309"/>
    <mergeCell ref="J302:K302"/>
    <mergeCell ref="G302:H302"/>
    <mergeCell ref="F215:G215"/>
    <mergeCell ref="G339:H339"/>
    <mergeCell ref="A328:L328"/>
    <mergeCell ref="G327:H327"/>
    <mergeCell ref="J327:K327"/>
    <mergeCell ref="A327:F327"/>
    <mergeCell ref="J326:K326"/>
    <mergeCell ref="G326:H326"/>
    <mergeCell ref="F323:G323"/>
    <mergeCell ref="F322:G322"/>
    <mergeCell ref="J239:K239"/>
    <mergeCell ref="G239:H239"/>
    <mergeCell ref="F235:G235"/>
    <mergeCell ref="F234:G234"/>
    <mergeCell ref="J227:K227"/>
    <mergeCell ref="G227:H227"/>
    <mergeCell ref="J262:K262"/>
    <mergeCell ref="G262:H262"/>
    <mergeCell ref="F258:G258"/>
    <mergeCell ref="F257:G257"/>
    <mergeCell ref="J251:K251"/>
    <mergeCell ref="G251:H251"/>
    <mergeCell ref="F156:G156"/>
    <mergeCell ref="F155:G155"/>
    <mergeCell ref="J281:K281"/>
    <mergeCell ref="G281:H281"/>
    <mergeCell ref="F279:G279"/>
    <mergeCell ref="F278:G278"/>
    <mergeCell ref="J271:K271"/>
    <mergeCell ref="G271:H271"/>
    <mergeCell ref="F268:G268"/>
    <mergeCell ref="F267:G267"/>
    <mergeCell ref="J173:K173"/>
    <mergeCell ref="G173:H173"/>
    <mergeCell ref="F168:G168"/>
    <mergeCell ref="F167:G167"/>
    <mergeCell ref="J160:K160"/>
    <mergeCell ref="G160:H160"/>
    <mergeCell ref="F193:G193"/>
    <mergeCell ref="F192:G192"/>
    <mergeCell ref="J185:K185"/>
    <mergeCell ref="F97:G97"/>
    <mergeCell ref="J90:K90"/>
    <mergeCell ref="F214:G214"/>
    <mergeCell ref="J207:K207"/>
    <mergeCell ref="G207:H207"/>
    <mergeCell ref="F203:G203"/>
    <mergeCell ref="F202:G202"/>
    <mergeCell ref="J195:K195"/>
    <mergeCell ref="G195:H195"/>
    <mergeCell ref="F119:G119"/>
    <mergeCell ref="J112:K112"/>
    <mergeCell ref="G112:H112"/>
    <mergeCell ref="F108:G108"/>
    <mergeCell ref="F107:G107"/>
    <mergeCell ref="J100:K100"/>
    <mergeCell ref="G100:H100"/>
    <mergeCell ref="G136:H136"/>
    <mergeCell ref="F132:G132"/>
    <mergeCell ref="F131:G131"/>
    <mergeCell ref="J124:K124"/>
    <mergeCell ref="C687:I687"/>
    <mergeCell ref="J687:K687"/>
    <mergeCell ref="C688:I688"/>
    <mergeCell ref="J688:K688"/>
    <mergeCell ref="G124:H124"/>
    <mergeCell ref="F120:G120"/>
    <mergeCell ref="F39:G39"/>
    <mergeCell ref="F38:G38"/>
    <mergeCell ref="J33:K33"/>
    <mergeCell ref="G33:H33"/>
    <mergeCell ref="J148:K148"/>
    <mergeCell ref="G148:H148"/>
    <mergeCell ref="F144:G144"/>
    <mergeCell ref="F143:G143"/>
    <mergeCell ref="J136:K136"/>
    <mergeCell ref="J49:K49"/>
    <mergeCell ref="G49:H49"/>
    <mergeCell ref="F47:G47"/>
    <mergeCell ref="F46:G46"/>
    <mergeCell ref="J41:K41"/>
    <mergeCell ref="G41:H41"/>
    <mergeCell ref="F65:G65"/>
    <mergeCell ref="F64:G64"/>
    <mergeCell ref="J58:K58"/>
    <mergeCell ref="C19:F19"/>
    <mergeCell ref="G19:H19"/>
    <mergeCell ref="I19:J19"/>
    <mergeCell ref="K19:L19"/>
    <mergeCell ref="A21:L21"/>
    <mergeCell ref="C686:I686"/>
    <mergeCell ref="J686:K686"/>
    <mergeCell ref="G90:H90"/>
    <mergeCell ref="F87:G87"/>
    <mergeCell ref="F86:G86"/>
    <mergeCell ref="J79:K79"/>
    <mergeCell ref="G79:H79"/>
    <mergeCell ref="F75:G75"/>
    <mergeCell ref="F74:G74"/>
    <mergeCell ref="J67:K67"/>
    <mergeCell ref="G67:H67"/>
    <mergeCell ref="A24:L24"/>
    <mergeCell ref="G58:H58"/>
    <mergeCell ref="F56:G56"/>
    <mergeCell ref="F55:G55"/>
    <mergeCell ref="G185:H185"/>
    <mergeCell ref="F181:G181"/>
    <mergeCell ref="F180:G180"/>
    <mergeCell ref="F98:G98"/>
    <mergeCell ref="C17:F17"/>
    <mergeCell ref="G17:H17"/>
    <mergeCell ref="I17:J17"/>
    <mergeCell ref="K17:L17"/>
    <mergeCell ref="C18:F18"/>
    <mergeCell ref="G18:H18"/>
    <mergeCell ref="I18:J18"/>
    <mergeCell ref="K18:L18"/>
    <mergeCell ref="C15:F15"/>
    <mergeCell ref="G15:H15"/>
    <mergeCell ref="I15:J15"/>
    <mergeCell ref="K15:L15"/>
    <mergeCell ref="C16:F16"/>
    <mergeCell ref="G16:H16"/>
    <mergeCell ref="I16:J16"/>
    <mergeCell ref="K16:L16"/>
    <mergeCell ref="B3:E3"/>
    <mergeCell ref="H3:L3"/>
    <mergeCell ref="B4:E4"/>
    <mergeCell ref="H4:L4"/>
    <mergeCell ref="C13:F13"/>
    <mergeCell ref="G13:H13"/>
    <mergeCell ref="I13:J13"/>
    <mergeCell ref="K13:L13"/>
    <mergeCell ref="C14:F14"/>
    <mergeCell ref="G14:H14"/>
    <mergeCell ref="I14:J14"/>
    <mergeCell ref="K14:L14"/>
    <mergeCell ref="B6:K6"/>
    <mergeCell ref="B7:K7"/>
    <mergeCell ref="B9:K9"/>
    <mergeCell ref="G12:H12"/>
    <mergeCell ref="I12:J12"/>
  </mergeCells>
  <pageMargins left="0.4" right="0.2" top="0.2" bottom="0.4" header="0.2" footer="0.2"/>
  <pageSetup paperSize="9" scale="56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82"/>
  <sheetViews>
    <sheetView workbookViewId="0">
      <selection activeCell="A478" sqref="A478:AH47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477</v>
      </c>
      <c r="C12" s="1">
        <v>0</v>
      </c>
      <c r="D12" s="1">
        <f>ROW(A419)</f>
        <v>419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B419</f>
        <v>477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помещения первого этажа №20,21,22,25,26,27,28,29 и второго этажа №1,2.3 по адресу: г.Озёрск,Челябинская область,здание ОТИ НИЯУ МИФИ,ул.Победы,48</v>
      </c>
      <c r="H18" s="2"/>
      <c r="I18" s="2"/>
      <c r="J18" s="2"/>
      <c r="K18" s="2"/>
      <c r="L18" s="2"/>
      <c r="M18" s="2"/>
      <c r="N18" s="2"/>
      <c r="O18" s="2">
        <f t="shared" ref="O18:AT18" si="1">O419</f>
        <v>1073241.75</v>
      </c>
      <c r="P18" s="2">
        <f t="shared" si="1"/>
        <v>937287.13</v>
      </c>
      <c r="Q18" s="2">
        <f t="shared" si="1"/>
        <v>31401.43</v>
      </c>
      <c r="R18" s="2">
        <f t="shared" si="1"/>
        <v>3956.79</v>
      </c>
      <c r="S18" s="2">
        <f t="shared" si="1"/>
        <v>104553.19</v>
      </c>
      <c r="T18" s="2">
        <f t="shared" si="1"/>
        <v>0</v>
      </c>
      <c r="U18" s="2">
        <f t="shared" si="1"/>
        <v>1812.5792505999996</v>
      </c>
      <c r="V18" s="2">
        <f t="shared" si="1"/>
        <v>49.417139999999996</v>
      </c>
      <c r="W18" s="2">
        <f t="shared" si="1"/>
        <v>0</v>
      </c>
      <c r="X18" s="2">
        <f t="shared" si="1"/>
        <v>111874.25</v>
      </c>
      <c r="Y18" s="2">
        <f t="shared" si="1"/>
        <v>65116.22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1250232.22</v>
      </c>
      <c r="AS18" s="2">
        <f t="shared" si="1"/>
        <v>959080.83</v>
      </c>
      <c r="AT18" s="2">
        <f t="shared" si="1"/>
        <v>287290.18</v>
      </c>
      <c r="AU18" s="2">
        <f t="shared" ref="AU18:BZ18" si="2">AU419</f>
        <v>3861.21</v>
      </c>
      <c r="AV18" s="2">
        <f t="shared" si="2"/>
        <v>937287.13</v>
      </c>
      <c r="AW18" s="2">
        <f t="shared" si="2"/>
        <v>937287.13</v>
      </c>
      <c r="AX18" s="2">
        <f t="shared" si="2"/>
        <v>0</v>
      </c>
      <c r="AY18" s="2">
        <f t="shared" si="2"/>
        <v>937287.13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CA419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DG419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EM419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FS419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ROW(A387)</f>
        <v>387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B387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O387</f>
        <v>1073241.75</v>
      </c>
      <c r="P22" s="2">
        <f t="shared" si="8"/>
        <v>937287.13</v>
      </c>
      <c r="Q22" s="2">
        <f t="shared" si="8"/>
        <v>31401.43</v>
      </c>
      <c r="R22" s="2">
        <f t="shared" si="8"/>
        <v>3956.79</v>
      </c>
      <c r="S22" s="2">
        <f t="shared" si="8"/>
        <v>104553.19</v>
      </c>
      <c r="T22" s="2">
        <f t="shared" si="8"/>
        <v>0</v>
      </c>
      <c r="U22" s="2">
        <f t="shared" si="8"/>
        <v>1812.5792505999996</v>
      </c>
      <c r="V22" s="2">
        <f t="shared" si="8"/>
        <v>49.417139999999996</v>
      </c>
      <c r="W22" s="2">
        <f t="shared" si="8"/>
        <v>0</v>
      </c>
      <c r="X22" s="2">
        <f t="shared" si="8"/>
        <v>111874.25</v>
      </c>
      <c r="Y22" s="2">
        <f t="shared" si="8"/>
        <v>65116.22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1250232.22</v>
      </c>
      <c r="AS22" s="2">
        <f t="shared" si="8"/>
        <v>959080.83</v>
      </c>
      <c r="AT22" s="2">
        <f t="shared" si="8"/>
        <v>287290.18</v>
      </c>
      <c r="AU22" s="2">
        <f t="shared" ref="AU22:BZ22" si="9">AU387</f>
        <v>3861.21</v>
      </c>
      <c r="AV22" s="2">
        <f t="shared" si="9"/>
        <v>937287.13</v>
      </c>
      <c r="AW22" s="2">
        <f t="shared" si="9"/>
        <v>937287.13</v>
      </c>
      <c r="AX22" s="2">
        <f t="shared" si="9"/>
        <v>0</v>
      </c>
      <c r="AY22" s="2">
        <f t="shared" si="9"/>
        <v>937287.13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CA387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DG387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EM387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FS387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ROW(A100)</f>
        <v>100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-1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B100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O100</f>
        <v>672664.96</v>
      </c>
      <c r="P26" s="2">
        <f t="shared" si="15"/>
        <v>599289.07999999996</v>
      </c>
      <c r="Q26" s="2">
        <f t="shared" si="15"/>
        <v>12173.78</v>
      </c>
      <c r="R26" s="2">
        <f t="shared" si="15"/>
        <v>1359.19</v>
      </c>
      <c r="S26" s="2">
        <f t="shared" si="15"/>
        <v>61202.1</v>
      </c>
      <c r="T26" s="2">
        <f t="shared" si="15"/>
        <v>0</v>
      </c>
      <c r="U26" s="2">
        <f t="shared" si="15"/>
        <v>1106.6487977999998</v>
      </c>
      <c r="V26" s="2">
        <f t="shared" si="15"/>
        <v>17.725808000000001</v>
      </c>
      <c r="W26" s="2">
        <f t="shared" si="15"/>
        <v>0</v>
      </c>
      <c r="X26" s="2">
        <f t="shared" si="15"/>
        <v>62171.03</v>
      </c>
      <c r="Y26" s="2">
        <f t="shared" si="15"/>
        <v>33801.18</v>
      </c>
      <c r="Z26" s="2">
        <f t="shared" si="15"/>
        <v>0</v>
      </c>
      <c r="AA26" s="2">
        <f t="shared" si="15"/>
        <v>0</v>
      </c>
      <c r="AB26" s="2">
        <f t="shared" si="15"/>
        <v>672664.96</v>
      </c>
      <c r="AC26" s="2">
        <f t="shared" si="15"/>
        <v>599289.07999999996</v>
      </c>
      <c r="AD26" s="2">
        <f t="shared" si="15"/>
        <v>12173.78</v>
      </c>
      <c r="AE26" s="2">
        <f t="shared" si="15"/>
        <v>1359.19</v>
      </c>
      <c r="AF26" s="2">
        <f t="shared" si="15"/>
        <v>61202.1</v>
      </c>
      <c r="AG26" s="2">
        <f t="shared" si="15"/>
        <v>0</v>
      </c>
      <c r="AH26" s="2">
        <f t="shared" si="15"/>
        <v>1106.6487977999998</v>
      </c>
      <c r="AI26" s="2">
        <f t="shared" si="15"/>
        <v>17.725808000000001</v>
      </c>
      <c r="AJ26" s="2">
        <f t="shared" si="15"/>
        <v>0</v>
      </c>
      <c r="AK26" s="2">
        <f t="shared" si="15"/>
        <v>62171.03</v>
      </c>
      <c r="AL26" s="2">
        <f t="shared" si="15"/>
        <v>33801.18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768637.17</v>
      </c>
      <c r="AS26" s="2">
        <f t="shared" si="15"/>
        <v>768637.17</v>
      </c>
      <c r="AT26" s="2">
        <f t="shared" si="15"/>
        <v>0</v>
      </c>
      <c r="AU26" s="2">
        <f t="shared" ref="AU26:BZ26" si="16">AU100</f>
        <v>0</v>
      </c>
      <c r="AV26" s="2">
        <f t="shared" si="16"/>
        <v>599289.07999999996</v>
      </c>
      <c r="AW26" s="2">
        <f t="shared" si="16"/>
        <v>599289.07999999996</v>
      </c>
      <c r="AX26" s="2">
        <f t="shared" si="16"/>
        <v>0</v>
      </c>
      <c r="AY26" s="2">
        <f t="shared" si="16"/>
        <v>599289.07999999996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CA100</f>
        <v>768637.17</v>
      </c>
      <c r="CB26" s="2">
        <f t="shared" si="17"/>
        <v>768637.17</v>
      </c>
      <c r="CC26" s="2">
        <f t="shared" si="17"/>
        <v>0</v>
      </c>
      <c r="CD26" s="2">
        <f t="shared" si="17"/>
        <v>0</v>
      </c>
      <c r="CE26" s="2">
        <f t="shared" si="17"/>
        <v>599289.07999999996</v>
      </c>
      <c r="CF26" s="2">
        <f t="shared" si="17"/>
        <v>599289.07999999996</v>
      </c>
      <c r="CG26" s="2">
        <f t="shared" si="17"/>
        <v>0</v>
      </c>
      <c r="CH26" s="2">
        <f t="shared" si="17"/>
        <v>599289.07999999996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DG100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EM100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FS100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ROW(SmtRes!A5)</f>
        <v>5</v>
      </c>
      <c r="D28">
        <f>ROW(EtalonRes!A5)</f>
        <v>5</v>
      </c>
      <c r="E28" t="s">
        <v>14</v>
      </c>
      <c r="F28" t="s">
        <v>15</v>
      </c>
      <c r="G28" t="s">
        <v>16</v>
      </c>
      <c r="H28" t="s">
        <v>17</v>
      </c>
      <c r="I28">
        <f>ROUND(24.7/100,9)</f>
        <v>0.247</v>
      </c>
      <c r="J28">
        <v>0</v>
      </c>
      <c r="O28">
        <f t="shared" ref="O28:O59" si="21">ROUND(CP28,2)</f>
        <v>990.23</v>
      </c>
      <c r="P28">
        <f t="shared" ref="P28:P59" si="22">ROUND(CQ28*I28,2)</f>
        <v>0</v>
      </c>
      <c r="Q28">
        <f t="shared" ref="Q28:Q59" si="23">ROUND(CR28*I28,2)</f>
        <v>104.87</v>
      </c>
      <c r="R28">
        <f t="shared" ref="R28:R59" si="24">ROUND(CS28*I28,2)</f>
        <v>7.16</v>
      </c>
      <c r="S28">
        <f t="shared" ref="S28:S59" si="25">ROUND(CT28*I28,2)</f>
        <v>885.36</v>
      </c>
      <c r="T28">
        <f t="shared" ref="T28:T59" si="26">ROUND(CU28*I28,2)</f>
        <v>0</v>
      </c>
      <c r="U28">
        <f t="shared" ref="U28:U59" si="27">CV28*I28</f>
        <v>18.3521</v>
      </c>
      <c r="V28">
        <f t="shared" ref="V28:V59" si="28">CW28*I28</f>
        <v>8.6449999999999999E-2</v>
      </c>
      <c r="W28">
        <f t="shared" ref="W28:W59" si="29">ROUND(CX28*I28,2)</f>
        <v>0</v>
      </c>
      <c r="X28">
        <f t="shared" ref="X28:X59" si="30">ROUND(CY28,2)</f>
        <v>687.24</v>
      </c>
      <c r="Y28">
        <f t="shared" ref="Y28:Y59" si="31">ROUND(CZ28,2)</f>
        <v>446.26</v>
      </c>
      <c r="AA28">
        <v>39476960</v>
      </c>
      <c r="AB28">
        <f t="shared" ref="AB28:AB59" si="32">ROUND((AC28+AD28+AF28),2)</f>
        <v>654</v>
      </c>
      <c r="AC28">
        <f>ROUND((ES28),2)</f>
        <v>0</v>
      </c>
      <c r="AD28">
        <f>ROUND((((ET28)-(EU28))+AE28),2)</f>
        <v>69.260000000000005</v>
      </c>
      <c r="AE28">
        <f>ROUND((EU28),2)</f>
        <v>4.7300000000000004</v>
      </c>
      <c r="AF28">
        <f>ROUND((EV28),2)</f>
        <v>584.74</v>
      </c>
      <c r="AG28">
        <f t="shared" ref="AG28:AG59" si="33">ROUND((AP28),2)</f>
        <v>0</v>
      </c>
      <c r="AH28">
        <f>(EW28)</f>
        <v>74.3</v>
      </c>
      <c r="AI28">
        <f>(EX28)</f>
        <v>0.35</v>
      </c>
      <c r="AJ28">
        <f t="shared" ref="AJ28:AJ59" si="34">ROUND((AS28),2)</f>
        <v>0</v>
      </c>
      <c r="AK28">
        <v>654</v>
      </c>
      <c r="AL28">
        <v>0</v>
      </c>
      <c r="AM28">
        <v>69.260000000000005</v>
      </c>
      <c r="AN28">
        <v>4.7300000000000004</v>
      </c>
      <c r="AO28">
        <v>584.74</v>
      </c>
      <c r="AP28">
        <v>0</v>
      </c>
      <c r="AQ28">
        <v>74.3</v>
      </c>
      <c r="AR28">
        <v>0.35</v>
      </c>
      <c r="AS28">
        <v>0</v>
      </c>
      <c r="AT28">
        <v>77</v>
      </c>
      <c r="AU28">
        <v>50</v>
      </c>
      <c r="AV28">
        <v>1</v>
      </c>
      <c r="AW28">
        <v>1</v>
      </c>
      <c r="AZ28">
        <v>6.13</v>
      </c>
      <c r="BA28">
        <v>6.13</v>
      </c>
      <c r="BB28">
        <v>6.13</v>
      </c>
      <c r="BC28">
        <v>6.13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18</v>
      </c>
      <c r="BM28">
        <v>63001</v>
      </c>
      <c r="BN28">
        <v>0</v>
      </c>
      <c r="BO28" t="s">
        <v>3</v>
      </c>
      <c r="BP28">
        <v>0</v>
      </c>
      <c r="BQ28">
        <v>6</v>
      </c>
      <c r="BR28">
        <v>0</v>
      </c>
      <c r="BS28">
        <v>6.13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77</v>
      </c>
      <c r="CA28">
        <v>50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59" si="35">(P28+Q28+S28)</f>
        <v>990.23</v>
      </c>
      <c r="CQ28">
        <f t="shared" ref="CQ28:CQ59" si="36">AC28*BC28</f>
        <v>0</v>
      </c>
      <c r="CR28">
        <f t="shared" ref="CR28:CR59" si="37">AD28*BB28</f>
        <v>424.56380000000001</v>
      </c>
      <c r="CS28">
        <f t="shared" ref="CS28:CS59" si="38">AE28*BS28</f>
        <v>28.994900000000001</v>
      </c>
      <c r="CT28">
        <f t="shared" ref="CT28:CT59" si="39">AF28*BA28</f>
        <v>3584.4562000000001</v>
      </c>
      <c r="CU28">
        <f t="shared" ref="CU28:CU59" si="40">AG28</f>
        <v>0</v>
      </c>
      <c r="CV28">
        <f t="shared" ref="CV28:CV59" si="41">AH28</f>
        <v>74.3</v>
      </c>
      <c r="CW28">
        <f t="shared" ref="CW28:CW59" si="42">AI28</f>
        <v>0.35</v>
      </c>
      <c r="CX28">
        <f t="shared" ref="CX28:CX59" si="43">AJ28</f>
        <v>0</v>
      </c>
      <c r="CY28">
        <f t="shared" ref="CY28:CY59" si="44">(((S28+R28)*AT28)/100)</f>
        <v>687.24039999999991</v>
      </c>
      <c r="CZ28">
        <f t="shared" ref="CZ28:CZ59" si="45">(((S28+R28)*AU28)/100)</f>
        <v>446.26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17</v>
      </c>
      <c r="DW28" t="s">
        <v>17</v>
      </c>
      <c r="DX28">
        <v>100</v>
      </c>
      <c r="EE28">
        <v>39174588</v>
      </c>
      <c r="EF28">
        <v>6</v>
      </c>
      <c r="EG28" t="s">
        <v>19</v>
      </c>
      <c r="EH28">
        <v>0</v>
      </c>
      <c r="EI28" t="s">
        <v>3</v>
      </c>
      <c r="EJ28">
        <v>1</v>
      </c>
      <c r="EK28">
        <v>63001</v>
      </c>
      <c r="EL28" t="s">
        <v>20</v>
      </c>
      <c r="EM28" t="s">
        <v>21</v>
      </c>
      <c r="EO28" t="s">
        <v>3</v>
      </c>
      <c r="EQ28">
        <v>0</v>
      </c>
      <c r="ER28">
        <v>654</v>
      </c>
      <c r="ES28">
        <v>0</v>
      </c>
      <c r="ET28">
        <v>69.260000000000005</v>
      </c>
      <c r="EU28">
        <v>4.7300000000000004</v>
      </c>
      <c r="EV28">
        <v>584.74</v>
      </c>
      <c r="EW28">
        <v>74.3</v>
      </c>
      <c r="EX28">
        <v>0.35</v>
      </c>
      <c r="EY28">
        <v>0</v>
      </c>
      <c r="FQ28">
        <v>0</v>
      </c>
      <c r="FR28">
        <f t="shared" ref="FR28:FR59" si="46">ROUND(IF(AND(BH28=3,BI28=3),P28,0),2)</f>
        <v>0</v>
      </c>
      <c r="FS28">
        <v>0</v>
      </c>
      <c r="FX28">
        <v>77</v>
      </c>
      <c r="FY28">
        <v>50</v>
      </c>
      <c r="GA28" t="s">
        <v>3</v>
      </c>
      <c r="GD28">
        <v>0</v>
      </c>
      <c r="GF28">
        <v>1410032296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7">ROUND(IF(AND(BH28=3,BI28=3,FS28&lt;&gt;0),P28,0),2)</f>
        <v>0</v>
      </c>
      <c r="GM28">
        <f t="shared" ref="GM28:GM59" si="48">ROUND(O28+X28+Y28+GK28,2)+GX28</f>
        <v>2123.73</v>
      </c>
      <c r="GN28">
        <f t="shared" ref="GN28:GN59" si="49">IF(OR(BI28=0,BI28=1),ROUND(O28+X28+Y28+GK28,2),0)</f>
        <v>2123.73</v>
      </c>
      <c r="GO28">
        <f t="shared" ref="GO28:GO59" si="50">IF(BI28=2,ROUND(O28+X28+Y28+GK28,2),0)</f>
        <v>0</v>
      </c>
      <c r="GP28">
        <f t="shared" ref="GP28:GP59" si="51"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 t="shared" ref="GV28:GV59" si="52">ROUND(GT28,2)</f>
        <v>0</v>
      </c>
      <c r="GW28">
        <v>1</v>
      </c>
      <c r="GX28">
        <f t="shared" ref="GX28:GX59" si="53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ROW(SmtRes!A11)</f>
        <v>11</v>
      </c>
      <c r="D29">
        <f>ROW(EtalonRes!A11)</f>
        <v>11</v>
      </c>
      <c r="E29" t="s">
        <v>22</v>
      </c>
      <c r="F29" t="s">
        <v>23</v>
      </c>
      <c r="G29" t="s">
        <v>24</v>
      </c>
      <c r="H29" t="s">
        <v>25</v>
      </c>
      <c r="I29">
        <v>3.3839999999999999</v>
      </c>
      <c r="J29">
        <v>0</v>
      </c>
      <c r="O29">
        <f t="shared" si="21"/>
        <v>5059.24</v>
      </c>
      <c r="P29">
        <f t="shared" si="22"/>
        <v>465.7</v>
      </c>
      <c r="Q29">
        <f t="shared" si="23"/>
        <v>2492.8000000000002</v>
      </c>
      <c r="R29">
        <f t="shared" si="24"/>
        <v>0</v>
      </c>
      <c r="S29">
        <f t="shared" si="25"/>
        <v>2100.7399999999998</v>
      </c>
      <c r="T29">
        <f t="shared" si="26"/>
        <v>0</v>
      </c>
      <c r="U29">
        <f t="shared" si="27"/>
        <v>38.679119999999998</v>
      </c>
      <c r="V29">
        <f t="shared" si="28"/>
        <v>0</v>
      </c>
      <c r="W29">
        <f t="shared" si="29"/>
        <v>0</v>
      </c>
      <c r="X29">
        <f t="shared" si="30"/>
        <v>2079.73</v>
      </c>
      <c r="Y29">
        <f t="shared" si="31"/>
        <v>1260.44</v>
      </c>
      <c r="AA29">
        <v>39476960</v>
      </c>
      <c r="AB29">
        <f t="shared" si="32"/>
        <v>243.89</v>
      </c>
      <c r="AC29">
        <f>ROUND((ES29),2)</f>
        <v>22.45</v>
      </c>
      <c r="AD29">
        <f>ROUND((((ET29)-(EU29))+AE29),2)</f>
        <v>120.17</v>
      </c>
      <c r="AE29">
        <f>ROUND((EU29),2)</f>
        <v>0</v>
      </c>
      <c r="AF29">
        <f>ROUND((EV29),2)</f>
        <v>101.27</v>
      </c>
      <c r="AG29">
        <f t="shared" si="33"/>
        <v>0</v>
      </c>
      <c r="AH29">
        <f>(EW29)</f>
        <v>11.43</v>
      </c>
      <c r="AI29">
        <f>(EX29)</f>
        <v>0</v>
      </c>
      <c r="AJ29">
        <f t="shared" si="34"/>
        <v>0</v>
      </c>
      <c r="AK29">
        <v>243.89</v>
      </c>
      <c r="AL29">
        <v>22.45</v>
      </c>
      <c r="AM29">
        <v>120.17</v>
      </c>
      <c r="AN29">
        <v>0</v>
      </c>
      <c r="AO29">
        <v>101.27</v>
      </c>
      <c r="AP29">
        <v>0</v>
      </c>
      <c r="AQ29">
        <v>11.43</v>
      </c>
      <c r="AR29">
        <v>0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6.13</v>
      </c>
      <c r="BA29">
        <v>6.13</v>
      </c>
      <c r="BB29">
        <v>6.13</v>
      </c>
      <c r="BC29">
        <v>6.13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26</v>
      </c>
      <c r="BM29">
        <v>46001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6.13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5"/>
        <v>5059.24</v>
      </c>
      <c r="CQ29">
        <f t="shared" si="36"/>
        <v>137.61849999999998</v>
      </c>
      <c r="CR29">
        <f t="shared" si="37"/>
        <v>736.64210000000003</v>
      </c>
      <c r="CS29">
        <f t="shared" si="38"/>
        <v>0</v>
      </c>
      <c r="CT29">
        <f t="shared" si="39"/>
        <v>620.78509999999994</v>
      </c>
      <c r="CU29">
        <f t="shared" si="40"/>
        <v>0</v>
      </c>
      <c r="CV29">
        <f t="shared" si="41"/>
        <v>11.43</v>
      </c>
      <c r="CW29">
        <f t="shared" si="42"/>
        <v>0</v>
      </c>
      <c r="CX29">
        <f t="shared" si="43"/>
        <v>0</v>
      </c>
      <c r="CY29">
        <f t="shared" si="44"/>
        <v>2079.7325999999998</v>
      </c>
      <c r="CZ29">
        <f t="shared" si="45"/>
        <v>1260.444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1007</v>
      </c>
      <c r="DV29" t="s">
        <v>25</v>
      </c>
      <c r="DW29" t="s">
        <v>25</v>
      </c>
      <c r="DX29">
        <v>1</v>
      </c>
      <c r="EE29">
        <v>39174571</v>
      </c>
      <c r="EF29">
        <v>2</v>
      </c>
      <c r="EG29" t="s">
        <v>13</v>
      </c>
      <c r="EH29">
        <v>0</v>
      </c>
      <c r="EI29" t="s">
        <v>3</v>
      </c>
      <c r="EJ29">
        <v>1</v>
      </c>
      <c r="EK29">
        <v>46001</v>
      </c>
      <c r="EL29" t="s">
        <v>27</v>
      </c>
      <c r="EM29" t="s">
        <v>28</v>
      </c>
      <c r="EO29" t="s">
        <v>3</v>
      </c>
      <c r="EQ29">
        <v>0</v>
      </c>
      <c r="ER29">
        <v>243.89</v>
      </c>
      <c r="ES29">
        <v>22.45</v>
      </c>
      <c r="ET29">
        <v>120.17</v>
      </c>
      <c r="EU29">
        <v>0</v>
      </c>
      <c r="EV29">
        <v>101.27</v>
      </c>
      <c r="EW29">
        <v>11.43</v>
      </c>
      <c r="EX29">
        <v>0</v>
      </c>
      <c r="EY29">
        <v>0</v>
      </c>
      <c r="FQ29">
        <v>0</v>
      </c>
      <c r="FR29">
        <f t="shared" si="46"/>
        <v>0</v>
      </c>
      <c r="FS29">
        <v>0</v>
      </c>
      <c r="FT29" t="s">
        <v>29</v>
      </c>
      <c r="FU29" t="s">
        <v>30</v>
      </c>
      <c r="FX29">
        <v>99</v>
      </c>
      <c r="FY29">
        <v>59.5</v>
      </c>
      <c r="GA29" t="s">
        <v>3</v>
      </c>
      <c r="GD29">
        <v>0</v>
      </c>
      <c r="GF29">
        <v>-557236233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7"/>
        <v>0</v>
      </c>
      <c r="GM29">
        <f t="shared" si="48"/>
        <v>8399.41</v>
      </c>
      <c r="GN29">
        <f t="shared" si="49"/>
        <v>8399.41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3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ROW(SmtRes!A32)</f>
        <v>32</v>
      </c>
      <c r="D30">
        <f>ROW(EtalonRes!A34)</f>
        <v>34</v>
      </c>
      <c r="E30" t="s">
        <v>31</v>
      </c>
      <c r="F30" t="s">
        <v>32</v>
      </c>
      <c r="G30" t="s">
        <v>33</v>
      </c>
      <c r="H30" t="s">
        <v>34</v>
      </c>
      <c r="I30">
        <v>0.4</v>
      </c>
      <c r="J30">
        <v>0</v>
      </c>
      <c r="O30">
        <f t="shared" si="21"/>
        <v>2034.91</v>
      </c>
      <c r="P30">
        <f t="shared" si="22"/>
        <v>0</v>
      </c>
      <c r="Q30">
        <f t="shared" si="23"/>
        <v>1408.18</v>
      </c>
      <c r="R30">
        <f t="shared" si="24"/>
        <v>161.63999999999999</v>
      </c>
      <c r="S30">
        <f t="shared" si="25"/>
        <v>626.73</v>
      </c>
      <c r="T30">
        <f t="shared" si="26"/>
        <v>0</v>
      </c>
      <c r="U30">
        <f t="shared" si="27"/>
        <v>10.876319999999998</v>
      </c>
      <c r="V30">
        <f t="shared" si="28"/>
        <v>1.9588799999999997</v>
      </c>
      <c r="W30">
        <f t="shared" si="29"/>
        <v>0</v>
      </c>
      <c r="X30">
        <f t="shared" si="30"/>
        <v>638.58000000000004</v>
      </c>
      <c r="Y30">
        <f t="shared" si="31"/>
        <v>567.63</v>
      </c>
      <c r="AA30">
        <v>39476960</v>
      </c>
      <c r="AB30">
        <f t="shared" si="32"/>
        <v>829.9</v>
      </c>
      <c r="AC30">
        <f>ROUND(((ES30*0)),2)</f>
        <v>0</v>
      </c>
      <c r="AD30">
        <f>ROUND((((((ET30*0.7)*1.2))-(((EU30*0.7)*1.2)))+AE30),2)</f>
        <v>574.29999999999995</v>
      </c>
      <c r="AE30">
        <f>ROUND((((EU30*0.7)*1.2)),2)</f>
        <v>65.92</v>
      </c>
      <c r="AF30">
        <f>ROUND((((EV30*0.7)*1.2)),2)</f>
        <v>255.6</v>
      </c>
      <c r="AG30">
        <f t="shared" si="33"/>
        <v>0</v>
      </c>
      <c r="AH30">
        <f>(((EW30*0.7)*1.2))</f>
        <v>27.190799999999992</v>
      </c>
      <c r="AI30">
        <f>(((EX30*0.7)*1.2))</f>
        <v>4.8971999999999989</v>
      </c>
      <c r="AJ30">
        <f t="shared" si="34"/>
        <v>0</v>
      </c>
      <c r="AK30">
        <v>1076.46</v>
      </c>
      <c r="AL30">
        <v>88.49</v>
      </c>
      <c r="AM30">
        <v>683.69</v>
      </c>
      <c r="AN30">
        <v>78.48</v>
      </c>
      <c r="AO30">
        <v>304.27999999999997</v>
      </c>
      <c r="AP30">
        <v>0</v>
      </c>
      <c r="AQ30">
        <v>32.369999999999997</v>
      </c>
      <c r="AR30">
        <v>5.83</v>
      </c>
      <c r="AS30">
        <v>0</v>
      </c>
      <c r="AT30">
        <v>81</v>
      </c>
      <c r="AU30">
        <v>72</v>
      </c>
      <c r="AV30">
        <v>1</v>
      </c>
      <c r="AW30">
        <v>1</v>
      </c>
      <c r="AZ30">
        <v>6.13</v>
      </c>
      <c r="BA30">
        <v>6.13</v>
      </c>
      <c r="BB30">
        <v>6.13</v>
      </c>
      <c r="BC30">
        <v>6.13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35</v>
      </c>
      <c r="BM30">
        <v>9001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6.13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90</v>
      </c>
      <c r="CA30">
        <v>85</v>
      </c>
      <c r="CF30">
        <v>0</v>
      </c>
      <c r="CG30">
        <v>0</v>
      </c>
      <c r="CM30">
        <v>0</v>
      </c>
      <c r="CN30" t="s">
        <v>1272</v>
      </c>
      <c r="CO30">
        <v>0</v>
      </c>
      <c r="CP30">
        <f t="shared" si="35"/>
        <v>2034.91</v>
      </c>
      <c r="CQ30">
        <f t="shared" si="36"/>
        <v>0</v>
      </c>
      <c r="CR30">
        <f t="shared" si="37"/>
        <v>3520.4589999999998</v>
      </c>
      <c r="CS30">
        <f t="shared" si="38"/>
        <v>404.08960000000002</v>
      </c>
      <c r="CT30">
        <f t="shared" si="39"/>
        <v>1566.828</v>
      </c>
      <c r="CU30">
        <f t="shared" si="40"/>
        <v>0</v>
      </c>
      <c r="CV30">
        <f t="shared" si="41"/>
        <v>27.190799999999992</v>
      </c>
      <c r="CW30">
        <f t="shared" si="42"/>
        <v>4.8971999999999989</v>
      </c>
      <c r="CX30">
        <f t="shared" si="43"/>
        <v>0</v>
      </c>
      <c r="CY30">
        <f t="shared" si="44"/>
        <v>638.5797</v>
      </c>
      <c r="CZ30">
        <f t="shared" si="45"/>
        <v>567.62639999999999</v>
      </c>
      <c r="DC30" t="s">
        <v>3</v>
      </c>
      <c r="DD30" t="s">
        <v>36</v>
      </c>
      <c r="DE30" t="s">
        <v>37</v>
      </c>
      <c r="DF30" t="s">
        <v>37</v>
      </c>
      <c r="DG30" t="s">
        <v>37</v>
      </c>
      <c r="DH30" t="s">
        <v>3</v>
      </c>
      <c r="DI30" t="s">
        <v>37</v>
      </c>
      <c r="DJ30" t="s">
        <v>37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1009</v>
      </c>
      <c r="DV30" t="s">
        <v>34</v>
      </c>
      <c r="DW30" t="s">
        <v>34</v>
      </c>
      <c r="DX30">
        <v>1000</v>
      </c>
      <c r="EE30">
        <v>39174502</v>
      </c>
      <c r="EF30">
        <v>2</v>
      </c>
      <c r="EG30" t="s">
        <v>13</v>
      </c>
      <c r="EH30">
        <v>0</v>
      </c>
      <c r="EI30" t="s">
        <v>3</v>
      </c>
      <c r="EJ30">
        <v>1</v>
      </c>
      <c r="EK30">
        <v>9001</v>
      </c>
      <c r="EL30" t="s">
        <v>38</v>
      </c>
      <c r="EM30" t="s">
        <v>39</v>
      </c>
      <c r="EO30" t="s">
        <v>40</v>
      </c>
      <c r="EQ30">
        <v>0</v>
      </c>
      <c r="ER30">
        <v>1076.46</v>
      </c>
      <c r="ES30">
        <v>88.49</v>
      </c>
      <c r="ET30">
        <v>683.69</v>
      </c>
      <c r="EU30">
        <v>78.48</v>
      </c>
      <c r="EV30">
        <v>304.27999999999997</v>
      </c>
      <c r="EW30">
        <v>32.369999999999997</v>
      </c>
      <c r="EX30">
        <v>5.83</v>
      </c>
      <c r="EY30">
        <v>0</v>
      </c>
      <c r="FQ30">
        <v>0</v>
      </c>
      <c r="FR30">
        <f t="shared" si="46"/>
        <v>0</v>
      </c>
      <c r="FS30">
        <v>0</v>
      </c>
      <c r="FT30" t="s">
        <v>29</v>
      </c>
      <c r="FU30" t="s">
        <v>30</v>
      </c>
      <c r="FX30">
        <v>81</v>
      </c>
      <c r="FY30">
        <v>72.25</v>
      </c>
      <c r="GA30" t="s">
        <v>3</v>
      </c>
      <c r="GD30">
        <v>0</v>
      </c>
      <c r="GF30">
        <v>1847191702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7"/>
        <v>0</v>
      </c>
      <c r="GM30">
        <f t="shared" si="48"/>
        <v>3241.12</v>
      </c>
      <c r="GN30">
        <f t="shared" si="49"/>
        <v>3241.12</v>
      </c>
      <c r="GO30">
        <f t="shared" si="50"/>
        <v>0</v>
      </c>
      <c r="GP30">
        <f t="shared" si="51"/>
        <v>0</v>
      </c>
      <c r="GR30">
        <v>0</v>
      </c>
      <c r="GS30">
        <v>3</v>
      </c>
      <c r="GT30">
        <v>0</v>
      </c>
      <c r="GU30" t="s">
        <v>3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ROW(SmtRes!A35)</f>
        <v>35</v>
      </c>
      <c r="D31">
        <f>ROW(EtalonRes!A37)</f>
        <v>37</v>
      </c>
      <c r="E31" t="s">
        <v>41</v>
      </c>
      <c r="F31" t="s">
        <v>42</v>
      </c>
      <c r="G31" t="s">
        <v>43</v>
      </c>
      <c r="H31" t="s">
        <v>17</v>
      </c>
      <c r="I31">
        <f>ROUND(0.99/100,9)</f>
        <v>9.9000000000000008E-3</v>
      </c>
      <c r="J31">
        <v>0</v>
      </c>
      <c r="O31">
        <f t="shared" si="21"/>
        <v>99.5</v>
      </c>
      <c r="P31">
        <f t="shared" si="22"/>
        <v>0</v>
      </c>
      <c r="Q31">
        <f t="shared" si="23"/>
        <v>14.68</v>
      </c>
      <c r="R31">
        <f t="shared" si="24"/>
        <v>6.34</v>
      </c>
      <c r="S31">
        <f t="shared" si="25"/>
        <v>84.82</v>
      </c>
      <c r="T31">
        <f t="shared" si="26"/>
        <v>0</v>
      </c>
      <c r="U31">
        <f t="shared" si="27"/>
        <v>1.710324</v>
      </c>
      <c r="V31">
        <f t="shared" si="28"/>
        <v>7.6626000000000014E-2</v>
      </c>
      <c r="W31">
        <f t="shared" si="29"/>
        <v>0</v>
      </c>
      <c r="X31">
        <f t="shared" si="30"/>
        <v>90.25</v>
      </c>
      <c r="Y31">
        <f t="shared" si="31"/>
        <v>54.7</v>
      </c>
      <c r="AA31">
        <v>39476960</v>
      </c>
      <c r="AB31">
        <f t="shared" si="32"/>
        <v>1639.58</v>
      </c>
      <c r="AC31">
        <f t="shared" ref="AC31:AC58" si="54">ROUND((ES31),2)</f>
        <v>0</v>
      </c>
      <c r="AD31">
        <f>ROUND((((ET31)-(EU31))+AE31),2)</f>
        <v>241.95</v>
      </c>
      <c r="AE31">
        <f>ROUND((EU31),2)</f>
        <v>104.49</v>
      </c>
      <c r="AF31">
        <f>ROUND((EV31),2)</f>
        <v>1397.63</v>
      </c>
      <c r="AG31">
        <f t="shared" si="33"/>
        <v>0</v>
      </c>
      <c r="AH31">
        <f>(EW31)</f>
        <v>172.76</v>
      </c>
      <c r="AI31">
        <f>(EX31)</f>
        <v>7.74</v>
      </c>
      <c r="AJ31">
        <f t="shared" si="34"/>
        <v>0</v>
      </c>
      <c r="AK31">
        <v>1639.58</v>
      </c>
      <c r="AL31">
        <v>0</v>
      </c>
      <c r="AM31">
        <v>241.95</v>
      </c>
      <c r="AN31">
        <v>104.49</v>
      </c>
      <c r="AO31">
        <v>1397.63</v>
      </c>
      <c r="AP31">
        <v>0</v>
      </c>
      <c r="AQ31">
        <v>172.76</v>
      </c>
      <c r="AR31">
        <v>7.74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6.13</v>
      </c>
      <c r="BA31">
        <v>6.13</v>
      </c>
      <c r="BB31">
        <v>6.13</v>
      </c>
      <c r="BC31">
        <v>6.13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44</v>
      </c>
      <c r="BM31">
        <v>46001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6.13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5"/>
        <v>99.5</v>
      </c>
      <c r="CQ31">
        <f t="shared" si="36"/>
        <v>0</v>
      </c>
      <c r="CR31">
        <f t="shared" si="37"/>
        <v>1483.1534999999999</v>
      </c>
      <c r="CS31">
        <f t="shared" si="38"/>
        <v>640.52369999999996</v>
      </c>
      <c r="CT31">
        <f t="shared" si="39"/>
        <v>8567.4719000000005</v>
      </c>
      <c r="CU31">
        <f t="shared" si="40"/>
        <v>0</v>
      </c>
      <c r="CV31">
        <f t="shared" si="41"/>
        <v>172.76</v>
      </c>
      <c r="CW31">
        <f t="shared" si="42"/>
        <v>7.74</v>
      </c>
      <c r="CX31">
        <f t="shared" si="43"/>
        <v>0</v>
      </c>
      <c r="CY31">
        <f t="shared" si="44"/>
        <v>90.248400000000004</v>
      </c>
      <c r="CZ31">
        <f t="shared" si="45"/>
        <v>54.695999999999998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17</v>
      </c>
      <c r="DW31" t="s">
        <v>17</v>
      </c>
      <c r="DX31">
        <v>100</v>
      </c>
      <c r="EE31">
        <v>39174571</v>
      </c>
      <c r="EF31">
        <v>2</v>
      </c>
      <c r="EG31" t="s">
        <v>13</v>
      </c>
      <c r="EH31">
        <v>0</v>
      </c>
      <c r="EI31" t="s">
        <v>3</v>
      </c>
      <c r="EJ31">
        <v>1</v>
      </c>
      <c r="EK31">
        <v>46001</v>
      </c>
      <c r="EL31" t="s">
        <v>27</v>
      </c>
      <c r="EM31" t="s">
        <v>28</v>
      </c>
      <c r="EO31" t="s">
        <v>3</v>
      </c>
      <c r="EQ31">
        <v>0</v>
      </c>
      <c r="ER31">
        <v>1639.58</v>
      </c>
      <c r="ES31">
        <v>0</v>
      </c>
      <c r="ET31">
        <v>241.95</v>
      </c>
      <c r="EU31">
        <v>104.49</v>
      </c>
      <c r="EV31">
        <v>1397.63</v>
      </c>
      <c r="EW31">
        <v>172.76</v>
      </c>
      <c r="EX31">
        <v>7.74</v>
      </c>
      <c r="EY31">
        <v>0</v>
      </c>
      <c r="FQ31">
        <v>0</v>
      </c>
      <c r="FR31">
        <f t="shared" si="46"/>
        <v>0</v>
      </c>
      <c r="FS31">
        <v>0</v>
      </c>
      <c r="FT31" t="s">
        <v>29</v>
      </c>
      <c r="FU31" t="s">
        <v>30</v>
      </c>
      <c r="FX31">
        <v>99</v>
      </c>
      <c r="FY31">
        <v>59.5</v>
      </c>
      <c r="GA31" t="s">
        <v>3</v>
      </c>
      <c r="GD31">
        <v>0</v>
      </c>
      <c r="GF31">
        <v>1660145298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7"/>
        <v>0</v>
      </c>
      <c r="GM31">
        <f t="shared" si="48"/>
        <v>244.45</v>
      </c>
      <c r="GN31">
        <f t="shared" si="49"/>
        <v>244.45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3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ROW(SmtRes!A38)</f>
        <v>38</v>
      </c>
      <c r="D32">
        <f>ROW(EtalonRes!A40)</f>
        <v>40</v>
      </c>
      <c r="E32" t="s">
        <v>45</v>
      </c>
      <c r="F32" t="s">
        <v>46</v>
      </c>
      <c r="G32" t="s">
        <v>47</v>
      </c>
      <c r="H32" t="s">
        <v>17</v>
      </c>
      <c r="I32">
        <f>ROUND(16/100,9)</f>
        <v>0.16</v>
      </c>
      <c r="J32">
        <v>0</v>
      </c>
      <c r="O32">
        <f t="shared" si="21"/>
        <v>1061.79</v>
      </c>
      <c r="P32">
        <f t="shared" si="22"/>
        <v>0</v>
      </c>
      <c r="Q32">
        <f t="shared" si="23"/>
        <v>237.3</v>
      </c>
      <c r="R32">
        <f t="shared" si="24"/>
        <v>102.48</v>
      </c>
      <c r="S32">
        <f t="shared" si="25"/>
        <v>824.49</v>
      </c>
      <c r="T32">
        <f t="shared" si="26"/>
        <v>0</v>
      </c>
      <c r="U32">
        <f t="shared" si="27"/>
        <v>16.625599999999999</v>
      </c>
      <c r="V32">
        <f t="shared" si="28"/>
        <v>1.2384000000000002</v>
      </c>
      <c r="W32">
        <f t="shared" si="29"/>
        <v>0</v>
      </c>
      <c r="X32">
        <f t="shared" si="30"/>
        <v>917.7</v>
      </c>
      <c r="Y32">
        <f t="shared" si="31"/>
        <v>556.17999999999995</v>
      </c>
      <c r="AA32">
        <v>39476960</v>
      </c>
      <c r="AB32">
        <f t="shared" si="32"/>
        <v>1082.58</v>
      </c>
      <c r="AC32">
        <f t="shared" si="54"/>
        <v>0</v>
      </c>
      <c r="AD32">
        <f>ROUND((((ET32)-(EU32))+AE32),2)</f>
        <v>241.95</v>
      </c>
      <c r="AE32">
        <f>ROUND((EU32),2)</f>
        <v>104.49</v>
      </c>
      <c r="AF32">
        <f>ROUND((EV32),2)</f>
        <v>840.63</v>
      </c>
      <c r="AG32">
        <f t="shared" si="33"/>
        <v>0</v>
      </c>
      <c r="AH32">
        <f>(EW32)</f>
        <v>103.91</v>
      </c>
      <c r="AI32">
        <f>(EX32)</f>
        <v>7.74</v>
      </c>
      <c r="AJ32">
        <f t="shared" si="34"/>
        <v>0</v>
      </c>
      <c r="AK32">
        <v>1082.58</v>
      </c>
      <c r="AL32">
        <v>0</v>
      </c>
      <c r="AM32">
        <v>241.95</v>
      </c>
      <c r="AN32">
        <v>104.49</v>
      </c>
      <c r="AO32">
        <v>840.63</v>
      </c>
      <c r="AP32">
        <v>0</v>
      </c>
      <c r="AQ32">
        <v>103.91</v>
      </c>
      <c r="AR32">
        <v>7.74</v>
      </c>
      <c r="AS32">
        <v>0</v>
      </c>
      <c r="AT32">
        <v>99</v>
      </c>
      <c r="AU32">
        <v>60</v>
      </c>
      <c r="AV32">
        <v>1</v>
      </c>
      <c r="AW32">
        <v>1</v>
      </c>
      <c r="AZ32">
        <v>6.13</v>
      </c>
      <c r="BA32">
        <v>6.13</v>
      </c>
      <c r="BB32">
        <v>6.13</v>
      </c>
      <c r="BC32">
        <v>6.13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48</v>
      </c>
      <c r="BM32">
        <v>46001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6.13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110</v>
      </c>
      <c r="CA32">
        <v>70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5"/>
        <v>1061.79</v>
      </c>
      <c r="CQ32">
        <f t="shared" si="36"/>
        <v>0</v>
      </c>
      <c r="CR32">
        <f t="shared" si="37"/>
        <v>1483.1534999999999</v>
      </c>
      <c r="CS32">
        <f t="shared" si="38"/>
        <v>640.52369999999996</v>
      </c>
      <c r="CT32">
        <f t="shared" si="39"/>
        <v>5153.0618999999997</v>
      </c>
      <c r="CU32">
        <f t="shared" si="40"/>
        <v>0</v>
      </c>
      <c r="CV32">
        <f t="shared" si="41"/>
        <v>103.91</v>
      </c>
      <c r="CW32">
        <f t="shared" si="42"/>
        <v>7.74</v>
      </c>
      <c r="CX32">
        <f t="shared" si="43"/>
        <v>0</v>
      </c>
      <c r="CY32">
        <f t="shared" si="44"/>
        <v>917.70029999999997</v>
      </c>
      <c r="CZ32">
        <f t="shared" si="45"/>
        <v>556.18200000000002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17</v>
      </c>
      <c r="DW32" t="s">
        <v>17</v>
      </c>
      <c r="DX32">
        <v>100</v>
      </c>
      <c r="EE32">
        <v>39174571</v>
      </c>
      <c r="EF32">
        <v>2</v>
      </c>
      <c r="EG32" t="s">
        <v>13</v>
      </c>
      <c r="EH32">
        <v>0</v>
      </c>
      <c r="EI32" t="s">
        <v>3</v>
      </c>
      <c r="EJ32">
        <v>1</v>
      </c>
      <c r="EK32">
        <v>46001</v>
      </c>
      <c r="EL32" t="s">
        <v>27</v>
      </c>
      <c r="EM32" t="s">
        <v>28</v>
      </c>
      <c r="EO32" t="s">
        <v>3</v>
      </c>
      <c r="EQ32">
        <v>0</v>
      </c>
      <c r="ER32">
        <v>1082.58</v>
      </c>
      <c r="ES32">
        <v>0</v>
      </c>
      <c r="ET32">
        <v>241.95</v>
      </c>
      <c r="EU32">
        <v>104.49</v>
      </c>
      <c r="EV32">
        <v>840.63</v>
      </c>
      <c r="EW32">
        <v>103.91</v>
      </c>
      <c r="EX32">
        <v>7.74</v>
      </c>
      <c r="EY32">
        <v>0</v>
      </c>
      <c r="FQ32">
        <v>0</v>
      </c>
      <c r="FR32">
        <f t="shared" si="46"/>
        <v>0</v>
      </c>
      <c r="FS32">
        <v>0</v>
      </c>
      <c r="FT32" t="s">
        <v>29</v>
      </c>
      <c r="FU32" t="s">
        <v>30</v>
      </c>
      <c r="FX32">
        <v>99</v>
      </c>
      <c r="FY32">
        <v>59.5</v>
      </c>
      <c r="GA32" t="s">
        <v>3</v>
      </c>
      <c r="GD32">
        <v>0</v>
      </c>
      <c r="GF32">
        <v>-96754396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7"/>
        <v>0</v>
      </c>
      <c r="GM32">
        <f t="shared" si="48"/>
        <v>2535.67</v>
      </c>
      <c r="GN32">
        <f t="shared" si="49"/>
        <v>2535.67</v>
      </c>
      <c r="GO32">
        <f t="shared" si="50"/>
        <v>0</v>
      </c>
      <c r="GP32">
        <f t="shared" si="51"/>
        <v>0</v>
      </c>
      <c r="GR32">
        <v>0</v>
      </c>
      <c r="GS32">
        <v>3</v>
      </c>
      <c r="GT32">
        <v>0</v>
      </c>
      <c r="GU32" t="s">
        <v>3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ROW(SmtRes!A50)</f>
        <v>50</v>
      </c>
      <c r="D33">
        <f>ROW(EtalonRes!A51)</f>
        <v>51</v>
      </c>
      <c r="E33" t="s">
        <v>49</v>
      </c>
      <c r="F33" t="s">
        <v>50</v>
      </c>
      <c r="G33" t="s">
        <v>51</v>
      </c>
      <c r="H33" t="s">
        <v>17</v>
      </c>
      <c r="I33">
        <f>ROUND(0.99/100,9)</f>
        <v>9.9000000000000008E-3</v>
      </c>
      <c r="J33">
        <v>0</v>
      </c>
      <c r="O33">
        <f t="shared" si="21"/>
        <v>839.95</v>
      </c>
      <c r="P33">
        <f t="shared" si="22"/>
        <v>676.31</v>
      </c>
      <c r="Q33">
        <f t="shared" si="23"/>
        <v>26.36</v>
      </c>
      <c r="R33">
        <f t="shared" si="24"/>
        <v>5.93</v>
      </c>
      <c r="S33">
        <f t="shared" si="25"/>
        <v>137.28</v>
      </c>
      <c r="T33">
        <f t="shared" si="26"/>
        <v>0</v>
      </c>
      <c r="U33">
        <f t="shared" si="27"/>
        <v>2.5623081000000005</v>
      </c>
      <c r="V33">
        <f t="shared" si="28"/>
        <v>7.9150499999999999E-2</v>
      </c>
      <c r="W33">
        <f t="shared" si="29"/>
        <v>0</v>
      </c>
      <c r="X33">
        <f t="shared" si="30"/>
        <v>151.80000000000001</v>
      </c>
      <c r="Y33">
        <f t="shared" si="31"/>
        <v>77.33</v>
      </c>
      <c r="AA33">
        <v>39476960</v>
      </c>
      <c r="AB33">
        <f t="shared" si="32"/>
        <v>13840.78</v>
      </c>
      <c r="AC33">
        <f t="shared" si="54"/>
        <v>11144.29</v>
      </c>
      <c r="AD33">
        <f>ROUND((((((ET33*1.25)*1.2))-(((EU33*1.25)*1.2)))+AE33),2)</f>
        <v>434.41</v>
      </c>
      <c r="AE33">
        <f>ROUND((((EU33*1.25)*1.2)),2)</f>
        <v>97.76</v>
      </c>
      <c r="AF33">
        <f>ROUND((((EV33*1.15)*1.2)),2)</f>
        <v>2262.08</v>
      </c>
      <c r="AG33">
        <f t="shared" si="33"/>
        <v>0</v>
      </c>
      <c r="AH33">
        <f>(((EW33*1.15)*1.2))</f>
        <v>258.81900000000002</v>
      </c>
      <c r="AI33">
        <f>(((EX33*1.25)*1.2))</f>
        <v>7.9949999999999992</v>
      </c>
      <c r="AJ33">
        <f t="shared" si="34"/>
        <v>0</v>
      </c>
      <c r="AK33">
        <v>13073.08</v>
      </c>
      <c r="AL33">
        <v>11144.29</v>
      </c>
      <c r="AM33">
        <v>289.60000000000002</v>
      </c>
      <c r="AN33">
        <v>65.17</v>
      </c>
      <c r="AO33">
        <v>1639.19</v>
      </c>
      <c r="AP33">
        <v>0</v>
      </c>
      <c r="AQ33">
        <v>187.55</v>
      </c>
      <c r="AR33">
        <v>5.33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6.13</v>
      </c>
      <c r="BA33">
        <v>6.13</v>
      </c>
      <c r="BB33">
        <v>6.13</v>
      </c>
      <c r="BC33">
        <v>6.13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52</v>
      </c>
      <c r="BM33">
        <v>10001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6.13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1273</v>
      </c>
      <c r="CO33">
        <v>0</v>
      </c>
      <c r="CP33">
        <f t="shared" si="35"/>
        <v>839.94999999999993</v>
      </c>
      <c r="CQ33">
        <f t="shared" si="36"/>
        <v>68314.497700000007</v>
      </c>
      <c r="CR33">
        <f t="shared" si="37"/>
        <v>2662.9333000000001</v>
      </c>
      <c r="CS33">
        <f t="shared" si="38"/>
        <v>599.26880000000006</v>
      </c>
      <c r="CT33">
        <f t="shared" si="39"/>
        <v>13866.5504</v>
      </c>
      <c r="CU33">
        <f t="shared" si="40"/>
        <v>0</v>
      </c>
      <c r="CV33">
        <f t="shared" si="41"/>
        <v>258.81900000000002</v>
      </c>
      <c r="CW33">
        <f t="shared" si="42"/>
        <v>7.9949999999999992</v>
      </c>
      <c r="CX33">
        <f t="shared" si="43"/>
        <v>0</v>
      </c>
      <c r="CY33">
        <f t="shared" si="44"/>
        <v>151.80260000000001</v>
      </c>
      <c r="CZ33">
        <f t="shared" si="45"/>
        <v>77.333399999999997</v>
      </c>
      <c r="DC33" t="s">
        <v>3</v>
      </c>
      <c r="DD33" t="s">
        <v>3</v>
      </c>
      <c r="DE33" t="s">
        <v>53</v>
      </c>
      <c r="DF33" t="s">
        <v>53</v>
      </c>
      <c r="DG33" t="s">
        <v>54</v>
      </c>
      <c r="DH33" t="s">
        <v>3</v>
      </c>
      <c r="DI33" t="s">
        <v>54</v>
      </c>
      <c r="DJ33" t="s">
        <v>53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17</v>
      </c>
      <c r="DW33" t="s">
        <v>17</v>
      </c>
      <c r="DX33">
        <v>100</v>
      </c>
      <c r="EE33">
        <v>39174503</v>
      </c>
      <c r="EF33">
        <v>2</v>
      </c>
      <c r="EG33" t="s">
        <v>13</v>
      </c>
      <c r="EH33">
        <v>0</v>
      </c>
      <c r="EI33" t="s">
        <v>3</v>
      </c>
      <c r="EJ33">
        <v>1</v>
      </c>
      <c r="EK33">
        <v>10001</v>
      </c>
      <c r="EL33" t="s">
        <v>55</v>
      </c>
      <c r="EM33" t="s">
        <v>56</v>
      </c>
      <c r="EO33" t="s">
        <v>57</v>
      </c>
      <c r="EQ33">
        <v>0</v>
      </c>
      <c r="ER33">
        <v>13073.08</v>
      </c>
      <c r="ES33">
        <v>11144.29</v>
      </c>
      <c r="ET33">
        <v>289.60000000000002</v>
      </c>
      <c r="EU33">
        <v>65.17</v>
      </c>
      <c r="EV33">
        <v>1639.19</v>
      </c>
      <c r="EW33">
        <v>187.55</v>
      </c>
      <c r="EX33">
        <v>5.33</v>
      </c>
      <c r="EY33">
        <v>0</v>
      </c>
      <c r="FQ33">
        <v>0</v>
      </c>
      <c r="FR33">
        <f t="shared" si="46"/>
        <v>0</v>
      </c>
      <c r="FS33">
        <v>0</v>
      </c>
      <c r="FT33" t="s">
        <v>29</v>
      </c>
      <c r="FU33" t="s">
        <v>30</v>
      </c>
      <c r="FX33">
        <v>106.2</v>
      </c>
      <c r="FY33">
        <v>53.55</v>
      </c>
      <c r="GA33" t="s">
        <v>3</v>
      </c>
      <c r="GD33">
        <v>0</v>
      </c>
      <c r="GF33">
        <v>148302620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7"/>
        <v>0</v>
      </c>
      <c r="GM33">
        <f t="shared" si="48"/>
        <v>1069.08</v>
      </c>
      <c r="GN33">
        <f t="shared" si="49"/>
        <v>1069.08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3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47</v>
      </c>
      <c r="E34" t="s">
        <v>58</v>
      </c>
      <c r="F34" t="s">
        <v>59</v>
      </c>
      <c r="G34" t="s">
        <v>60</v>
      </c>
      <c r="H34" t="s">
        <v>61</v>
      </c>
      <c r="I34">
        <f>I33*J34</f>
        <v>0.99</v>
      </c>
      <c r="J34">
        <v>99.999999999999986</v>
      </c>
      <c r="O34">
        <f t="shared" si="21"/>
        <v>33440.239999999998</v>
      </c>
      <c r="P34">
        <f t="shared" si="22"/>
        <v>33440.239999999998</v>
      </c>
      <c r="Q34">
        <f t="shared" si="23"/>
        <v>0</v>
      </c>
      <c r="R34">
        <f t="shared" si="24"/>
        <v>0</v>
      </c>
      <c r="S34">
        <f t="shared" si="25"/>
        <v>0</v>
      </c>
      <c r="T34">
        <f t="shared" si="26"/>
        <v>0</v>
      </c>
      <c r="U34">
        <f t="shared" si="27"/>
        <v>0</v>
      </c>
      <c r="V34">
        <f t="shared" si="28"/>
        <v>0</v>
      </c>
      <c r="W34">
        <f t="shared" si="29"/>
        <v>0</v>
      </c>
      <c r="X34">
        <f t="shared" si="30"/>
        <v>0</v>
      </c>
      <c r="Y34">
        <f t="shared" si="31"/>
        <v>0</v>
      </c>
      <c r="AA34">
        <v>39476960</v>
      </c>
      <c r="AB34">
        <f t="shared" si="32"/>
        <v>5510.28</v>
      </c>
      <c r="AC34">
        <f t="shared" si="54"/>
        <v>5510.28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33"/>
        <v>0</v>
      </c>
      <c r="AH34">
        <f>(EW34)</f>
        <v>0</v>
      </c>
      <c r="AI34">
        <f>(EX34)</f>
        <v>0</v>
      </c>
      <c r="AJ34">
        <f t="shared" si="34"/>
        <v>0</v>
      </c>
      <c r="AK34">
        <v>5510.28</v>
      </c>
      <c r="AL34">
        <v>5510.28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106</v>
      </c>
      <c r="AU34">
        <v>54</v>
      </c>
      <c r="AV34">
        <v>1</v>
      </c>
      <c r="AW34">
        <v>1</v>
      </c>
      <c r="AZ34">
        <v>6.13</v>
      </c>
      <c r="BA34">
        <v>1</v>
      </c>
      <c r="BB34">
        <v>1</v>
      </c>
      <c r="BC34">
        <v>6.13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62</v>
      </c>
      <c r="BM34">
        <v>10001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118</v>
      </c>
      <c r="CA34">
        <v>63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5"/>
        <v>33440.239999999998</v>
      </c>
      <c r="CQ34">
        <f t="shared" si="36"/>
        <v>33778.0164</v>
      </c>
      <c r="CR34">
        <f t="shared" si="37"/>
        <v>0</v>
      </c>
      <c r="CS34">
        <f t="shared" si="38"/>
        <v>0</v>
      </c>
      <c r="CT34">
        <f t="shared" si="39"/>
        <v>0</v>
      </c>
      <c r="CU34">
        <f t="shared" si="40"/>
        <v>0</v>
      </c>
      <c r="CV34">
        <f t="shared" si="41"/>
        <v>0</v>
      </c>
      <c r="CW34">
        <f t="shared" si="42"/>
        <v>0</v>
      </c>
      <c r="CX34">
        <f t="shared" si="43"/>
        <v>0</v>
      </c>
      <c r="CY34">
        <f t="shared" si="44"/>
        <v>0</v>
      </c>
      <c r="CZ34">
        <f t="shared" si="45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61</v>
      </c>
      <c r="DW34" t="s">
        <v>61</v>
      </c>
      <c r="DX34">
        <v>1</v>
      </c>
      <c r="EE34">
        <v>39174503</v>
      </c>
      <c r="EF34">
        <v>2</v>
      </c>
      <c r="EG34" t="s">
        <v>13</v>
      </c>
      <c r="EH34">
        <v>0</v>
      </c>
      <c r="EI34" t="s">
        <v>3</v>
      </c>
      <c r="EJ34">
        <v>1</v>
      </c>
      <c r="EK34">
        <v>10001</v>
      </c>
      <c r="EL34" t="s">
        <v>55</v>
      </c>
      <c r="EM34" t="s">
        <v>56</v>
      </c>
      <c r="EO34" t="s">
        <v>3</v>
      </c>
      <c r="EQ34">
        <v>0</v>
      </c>
      <c r="ER34">
        <v>5510.28</v>
      </c>
      <c r="ES34">
        <v>5510.28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6"/>
        <v>0</v>
      </c>
      <c r="FS34">
        <v>0</v>
      </c>
      <c r="FT34" t="s">
        <v>29</v>
      </c>
      <c r="FU34" t="s">
        <v>30</v>
      </c>
      <c r="FX34">
        <v>106.2</v>
      </c>
      <c r="FY34">
        <v>53.55</v>
      </c>
      <c r="GA34" t="s">
        <v>3</v>
      </c>
      <c r="GD34">
        <v>0</v>
      </c>
      <c r="GF34">
        <v>-1650336261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7"/>
        <v>0</v>
      </c>
      <c r="GM34">
        <f t="shared" si="48"/>
        <v>33440.239999999998</v>
      </c>
      <c r="GN34">
        <f t="shared" si="49"/>
        <v>33440.239999999998</v>
      </c>
      <c r="GO34">
        <f t="shared" si="50"/>
        <v>0</v>
      </c>
      <c r="GP34">
        <f t="shared" si="51"/>
        <v>0</v>
      </c>
      <c r="GR34">
        <v>0</v>
      </c>
      <c r="GS34">
        <v>3</v>
      </c>
      <c r="GT34">
        <v>0</v>
      </c>
      <c r="GU34" t="s">
        <v>3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48</v>
      </c>
      <c r="E35" t="s">
        <v>63</v>
      </c>
      <c r="F35" t="s">
        <v>64</v>
      </c>
      <c r="G35" t="s">
        <v>65</v>
      </c>
      <c r="H35" t="s">
        <v>61</v>
      </c>
      <c r="I35">
        <f>I33*J35</f>
        <v>0.99</v>
      </c>
      <c r="J35">
        <v>99.999999999999986</v>
      </c>
      <c r="O35">
        <f t="shared" si="21"/>
        <v>0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39476960</v>
      </c>
      <c r="AB35">
        <f t="shared" si="32"/>
        <v>0</v>
      </c>
      <c r="AC35">
        <f t="shared" si="54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33"/>
        <v>0</v>
      </c>
      <c r="AH35">
        <f>(EW35)</f>
        <v>0</v>
      </c>
      <c r="AI35">
        <f>(EX35)</f>
        <v>0</v>
      </c>
      <c r="AJ35">
        <f t="shared" si="34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6.13</v>
      </c>
      <c r="BA35">
        <v>1</v>
      </c>
      <c r="BB35">
        <v>1</v>
      </c>
      <c r="BC35">
        <v>6.13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10001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118</v>
      </c>
      <c r="CA35">
        <v>63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5"/>
        <v>0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0</v>
      </c>
      <c r="CU35">
        <f t="shared" si="40"/>
        <v>0</v>
      </c>
      <c r="CV35">
        <f t="shared" si="41"/>
        <v>0</v>
      </c>
      <c r="CW35">
        <f t="shared" si="42"/>
        <v>0</v>
      </c>
      <c r="CX35">
        <f t="shared" si="43"/>
        <v>0</v>
      </c>
      <c r="CY35">
        <f t="shared" si="44"/>
        <v>0</v>
      </c>
      <c r="CZ35">
        <f t="shared" si="45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61</v>
      </c>
      <c r="DW35" t="s">
        <v>61</v>
      </c>
      <c r="DX35">
        <v>1</v>
      </c>
      <c r="EE35">
        <v>39174503</v>
      </c>
      <c r="EF35">
        <v>2</v>
      </c>
      <c r="EG35" t="s">
        <v>13</v>
      </c>
      <c r="EH35">
        <v>0</v>
      </c>
      <c r="EI35" t="s">
        <v>3</v>
      </c>
      <c r="EJ35">
        <v>1</v>
      </c>
      <c r="EK35">
        <v>10001</v>
      </c>
      <c r="EL35" t="s">
        <v>55</v>
      </c>
      <c r="EM35" t="s">
        <v>56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6"/>
        <v>0</v>
      </c>
      <c r="FS35">
        <v>0</v>
      </c>
      <c r="FT35" t="s">
        <v>29</v>
      </c>
      <c r="FU35" t="s">
        <v>30</v>
      </c>
      <c r="FX35">
        <v>106.2</v>
      </c>
      <c r="FY35">
        <v>53.55</v>
      </c>
      <c r="GA35" t="s">
        <v>3</v>
      </c>
      <c r="GD35">
        <v>0</v>
      </c>
      <c r="GF35">
        <v>1219964505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7"/>
        <v>0</v>
      </c>
      <c r="GM35">
        <f t="shared" si="48"/>
        <v>0</v>
      </c>
      <c r="GN35">
        <f t="shared" si="49"/>
        <v>0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3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ROW(SmtRes!A58)</f>
        <v>58</v>
      </c>
      <c r="D36">
        <f>ROW(EtalonRes!A58)</f>
        <v>58</v>
      </c>
      <c r="E36" t="s">
        <v>66</v>
      </c>
      <c r="F36" t="s">
        <v>67</v>
      </c>
      <c r="G36" t="s">
        <v>68</v>
      </c>
      <c r="H36" t="s">
        <v>69</v>
      </c>
      <c r="I36">
        <f>ROUND(0.9/100,9)</f>
        <v>8.9999999999999993E-3</v>
      </c>
      <c r="J36">
        <v>0</v>
      </c>
      <c r="O36">
        <f t="shared" si="21"/>
        <v>234.93</v>
      </c>
      <c r="P36">
        <f t="shared" si="22"/>
        <v>220.25</v>
      </c>
      <c r="Q36">
        <f t="shared" si="23"/>
        <v>0.92</v>
      </c>
      <c r="R36">
        <f t="shared" si="24"/>
        <v>0.19</v>
      </c>
      <c r="S36">
        <f t="shared" si="25"/>
        <v>13.76</v>
      </c>
      <c r="T36">
        <f t="shared" si="26"/>
        <v>0</v>
      </c>
      <c r="U36">
        <f t="shared" si="27"/>
        <v>0.26317979999999996</v>
      </c>
      <c r="V36">
        <f t="shared" si="28"/>
        <v>2.5649999999999996E-3</v>
      </c>
      <c r="W36">
        <f t="shared" si="29"/>
        <v>0</v>
      </c>
      <c r="X36">
        <f t="shared" si="30"/>
        <v>14.79</v>
      </c>
      <c r="Y36">
        <f t="shared" si="31"/>
        <v>7.53</v>
      </c>
      <c r="AA36">
        <v>39476960</v>
      </c>
      <c r="AB36">
        <f t="shared" si="32"/>
        <v>4258.3100000000004</v>
      </c>
      <c r="AC36">
        <f t="shared" si="54"/>
        <v>3992.2</v>
      </c>
      <c r="AD36">
        <f>ROUND((((((ET36*1.25)*1.2))-(((EU36*1.25)*1.2)))+AE36),2)</f>
        <v>16.670000000000002</v>
      </c>
      <c r="AE36">
        <f>ROUND((((EU36*1.25)*1.2)),2)</f>
        <v>3.42</v>
      </c>
      <c r="AF36">
        <f>ROUND((((EV36*1.15)*1.2)),2)</f>
        <v>249.44</v>
      </c>
      <c r="AG36">
        <f t="shared" si="33"/>
        <v>0</v>
      </c>
      <c r="AH36">
        <f>(((EW36*1.15)*1.2))</f>
        <v>29.2422</v>
      </c>
      <c r="AI36">
        <f>(((EX36*1.25)*1.2))</f>
        <v>0.28499999999999998</v>
      </c>
      <c r="AJ36">
        <f t="shared" si="34"/>
        <v>0</v>
      </c>
      <c r="AK36">
        <v>4184.0600000000004</v>
      </c>
      <c r="AL36">
        <v>3992.2</v>
      </c>
      <c r="AM36">
        <v>11.11</v>
      </c>
      <c r="AN36">
        <v>2.2799999999999998</v>
      </c>
      <c r="AO36">
        <v>180.75</v>
      </c>
      <c r="AP36">
        <v>0</v>
      </c>
      <c r="AQ36">
        <v>21.19</v>
      </c>
      <c r="AR36">
        <v>0.19</v>
      </c>
      <c r="AS36">
        <v>0</v>
      </c>
      <c r="AT36">
        <v>106</v>
      </c>
      <c r="AU36">
        <v>54</v>
      </c>
      <c r="AV36">
        <v>1</v>
      </c>
      <c r="AW36">
        <v>1</v>
      </c>
      <c r="AZ36">
        <v>6.13</v>
      </c>
      <c r="BA36">
        <v>6.13</v>
      </c>
      <c r="BB36">
        <v>6.13</v>
      </c>
      <c r="BC36">
        <v>6.13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70</v>
      </c>
      <c r="BM36">
        <v>10001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6.13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118</v>
      </c>
      <c r="CA36">
        <v>63</v>
      </c>
      <c r="CF36">
        <v>0</v>
      </c>
      <c r="CG36">
        <v>0</v>
      </c>
      <c r="CM36">
        <v>0</v>
      </c>
      <c r="CN36" t="s">
        <v>1273</v>
      </c>
      <c r="CO36">
        <v>0</v>
      </c>
      <c r="CP36">
        <f t="shared" si="35"/>
        <v>234.92999999999998</v>
      </c>
      <c r="CQ36">
        <f t="shared" si="36"/>
        <v>24472.185999999998</v>
      </c>
      <c r="CR36">
        <f t="shared" si="37"/>
        <v>102.18710000000002</v>
      </c>
      <c r="CS36">
        <f t="shared" si="38"/>
        <v>20.964600000000001</v>
      </c>
      <c r="CT36">
        <f t="shared" si="39"/>
        <v>1529.0672</v>
      </c>
      <c r="CU36">
        <f t="shared" si="40"/>
        <v>0</v>
      </c>
      <c r="CV36">
        <f t="shared" si="41"/>
        <v>29.2422</v>
      </c>
      <c r="CW36">
        <f t="shared" si="42"/>
        <v>0.28499999999999998</v>
      </c>
      <c r="CX36">
        <f t="shared" si="43"/>
        <v>0</v>
      </c>
      <c r="CY36">
        <f t="shared" si="44"/>
        <v>14.786999999999999</v>
      </c>
      <c r="CZ36">
        <f t="shared" si="45"/>
        <v>7.5329999999999995</v>
      </c>
      <c r="DC36" t="s">
        <v>3</v>
      </c>
      <c r="DD36" t="s">
        <v>3</v>
      </c>
      <c r="DE36" t="s">
        <v>53</v>
      </c>
      <c r="DF36" t="s">
        <v>53</v>
      </c>
      <c r="DG36" t="s">
        <v>54</v>
      </c>
      <c r="DH36" t="s">
        <v>3</v>
      </c>
      <c r="DI36" t="s">
        <v>54</v>
      </c>
      <c r="DJ36" t="s">
        <v>53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1003</v>
      </c>
      <c r="DV36" t="s">
        <v>69</v>
      </c>
      <c r="DW36" t="s">
        <v>69</v>
      </c>
      <c r="DX36">
        <v>100</v>
      </c>
      <c r="EE36">
        <v>39174503</v>
      </c>
      <c r="EF36">
        <v>2</v>
      </c>
      <c r="EG36" t="s">
        <v>13</v>
      </c>
      <c r="EH36">
        <v>0</v>
      </c>
      <c r="EI36" t="s">
        <v>3</v>
      </c>
      <c r="EJ36">
        <v>1</v>
      </c>
      <c r="EK36">
        <v>10001</v>
      </c>
      <c r="EL36" t="s">
        <v>55</v>
      </c>
      <c r="EM36" t="s">
        <v>56</v>
      </c>
      <c r="EO36" t="s">
        <v>57</v>
      </c>
      <c r="EQ36">
        <v>0</v>
      </c>
      <c r="ER36">
        <v>4184.0600000000004</v>
      </c>
      <c r="ES36">
        <v>3992.2</v>
      </c>
      <c r="ET36">
        <v>11.11</v>
      </c>
      <c r="EU36">
        <v>2.2799999999999998</v>
      </c>
      <c r="EV36">
        <v>180.75</v>
      </c>
      <c r="EW36">
        <v>21.19</v>
      </c>
      <c r="EX36">
        <v>0.19</v>
      </c>
      <c r="EY36">
        <v>0</v>
      </c>
      <c r="FQ36">
        <v>0</v>
      </c>
      <c r="FR36">
        <f t="shared" si="46"/>
        <v>0</v>
      </c>
      <c r="FS36">
        <v>0</v>
      </c>
      <c r="FT36" t="s">
        <v>29</v>
      </c>
      <c r="FU36" t="s">
        <v>30</v>
      </c>
      <c r="FX36">
        <v>106.2</v>
      </c>
      <c r="FY36">
        <v>53.55</v>
      </c>
      <c r="GA36" t="s">
        <v>3</v>
      </c>
      <c r="GD36">
        <v>0</v>
      </c>
      <c r="GF36">
        <v>756108961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7"/>
        <v>0</v>
      </c>
      <c r="GM36">
        <f t="shared" si="48"/>
        <v>257.25</v>
      </c>
      <c r="GN36">
        <f t="shared" si="49"/>
        <v>257.25</v>
      </c>
      <c r="GO36">
        <f t="shared" si="50"/>
        <v>0</v>
      </c>
      <c r="GP36">
        <f t="shared" si="51"/>
        <v>0</v>
      </c>
      <c r="GR36">
        <v>0</v>
      </c>
      <c r="GS36">
        <v>3</v>
      </c>
      <c r="GT36">
        <v>0</v>
      </c>
      <c r="GU36" t="s">
        <v>3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56</v>
      </c>
      <c r="E37" t="s">
        <v>71</v>
      </c>
      <c r="F37" t="s">
        <v>72</v>
      </c>
      <c r="G37" t="s">
        <v>73</v>
      </c>
      <c r="H37" t="s">
        <v>74</v>
      </c>
      <c r="I37">
        <f>I36*J37</f>
        <v>0.9</v>
      </c>
      <c r="J37">
        <v>100.00000000000001</v>
      </c>
      <c r="O37">
        <f t="shared" si="21"/>
        <v>257.14999999999998</v>
      </c>
      <c r="P37">
        <f t="shared" si="22"/>
        <v>257.14999999999998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39476960</v>
      </c>
      <c r="AB37">
        <f t="shared" si="32"/>
        <v>46.61</v>
      </c>
      <c r="AC37">
        <f t="shared" si="54"/>
        <v>46.61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 t="shared" si="33"/>
        <v>0</v>
      </c>
      <c r="AH37">
        <f>(EW37)</f>
        <v>0</v>
      </c>
      <c r="AI37">
        <f>(EX37)</f>
        <v>0</v>
      </c>
      <c r="AJ37">
        <f t="shared" si="34"/>
        <v>0</v>
      </c>
      <c r="AK37">
        <v>46.61</v>
      </c>
      <c r="AL37">
        <v>46.61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106</v>
      </c>
      <c r="AU37">
        <v>54</v>
      </c>
      <c r="AV37">
        <v>1</v>
      </c>
      <c r="AW37">
        <v>1</v>
      </c>
      <c r="AZ37">
        <v>6.13</v>
      </c>
      <c r="BA37">
        <v>1</v>
      </c>
      <c r="BB37">
        <v>1</v>
      </c>
      <c r="BC37">
        <v>6.13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75</v>
      </c>
      <c r="BM37">
        <v>10001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118</v>
      </c>
      <c r="CA37">
        <v>63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5"/>
        <v>257.14999999999998</v>
      </c>
      <c r="CQ37">
        <f t="shared" si="36"/>
        <v>285.71929999999998</v>
      </c>
      <c r="CR37">
        <f t="shared" si="37"/>
        <v>0</v>
      </c>
      <c r="CS37">
        <f t="shared" si="38"/>
        <v>0</v>
      </c>
      <c r="CT37">
        <f t="shared" si="39"/>
        <v>0</v>
      </c>
      <c r="CU37">
        <f t="shared" si="40"/>
        <v>0</v>
      </c>
      <c r="CV37">
        <f t="shared" si="41"/>
        <v>0</v>
      </c>
      <c r="CW37">
        <f t="shared" si="42"/>
        <v>0</v>
      </c>
      <c r="CX37">
        <f t="shared" si="43"/>
        <v>0</v>
      </c>
      <c r="CY37">
        <f t="shared" si="44"/>
        <v>0</v>
      </c>
      <c r="CZ37">
        <f t="shared" si="45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74</v>
      </c>
      <c r="DW37" t="s">
        <v>74</v>
      </c>
      <c r="DX37">
        <v>1</v>
      </c>
      <c r="EE37">
        <v>39174503</v>
      </c>
      <c r="EF37">
        <v>2</v>
      </c>
      <c r="EG37" t="s">
        <v>13</v>
      </c>
      <c r="EH37">
        <v>0</v>
      </c>
      <c r="EI37" t="s">
        <v>3</v>
      </c>
      <c r="EJ37">
        <v>1</v>
      </c>
      <c r="EK37">
        <v>10001</v>
      </c>
      <c r="EL37" t="s">
        <v>55</v>
      </c>
      <c r="EM37" t="s">
        <v>56</v>
      </c>
      <c r="EO37" t="s">
        <v>3</v>
      </c>
      <c r="EQ37">
        <v>0</v>
      </c>
      <c r="ER37">
        <v>46.61</v>
      </c>
      <c r="ES37">
        <v>46.61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6"/>
        <v>0</v>
      </c>
      <c r="FS37">
        <v>0</v>
      </c>
      <c r="FT37" t="s">
        <v>29</v>
      </c>
      <c r="FU37" t="s">
        <v>30</v>
      </c>
      <c r="FX37">
        <v>106.2</v>
      </c>
      <c r="FY37">
        <v>53.55</v>
      </c>
      <c r="GA37" t="s">
        <v>3</v>
      </c>
      <c r="GD37">
        <v>0</v>
      </c>
      <c r="GF37">
        <v>1729479844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7"/>
        <v>0</v>
      </c>
      <c r="GM37">
        <f t="shared" si="48"/>
        <v>257.14999999999998</v>
      </c>
      <c r="GN37">
        <f t="shared" si="49"/>
        <v>257.14999999999998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3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55</v>
      </c>
      <c r="E38" t="s">
        <v>76</v>
      </c>
      <c r="F38" t="s">
        <v>77</v>
      </c>
      <c r="G38" t="s">
        <v>78</v>
      </c>
      <c r="H38" t="s">
        <v>74</v>
      </c>
      <c r="I38">
        <f>I36*J38</f>
        <v>0</v>
      </c>
      <c r="J38">
        <v>0</v>
      </c>
      <c r="O38">
        <f t="shared" si="21"/>
        <v>0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0</v>
      </c>
      <c r="T38">
        <f t="shared" si="26"/>
        <v>0</v>
      </c>
      <c r="U38">
        <f t="shared" si="27"/>
        <v>0</v>
      </c>
      <c r="V38">
        <f t="shared" si="28"/>
        <v>0</v>
      </c>
      <c r="W38">
        <f t="shared" si="29"/>
        <v>0</v>
      </c>
      <c r="X38">
        <f t="shared" si="30"/>
        <v>0</v>
      </c>
      <c r="Y38">
        <f t="shared" si="31"/>
        <v>0</v>
      </c>
      <c r="AA38">
        <v>39476960</v>
      </c>
      <c r="AB38">
        <f t="shared" si="32"/>
        <v>0</v>
      </c>
      <c r="AC38">
        <f t="shared" si="54"/>
        <v>0</v>
      </c>
      <c r="AD38">
        <f>ROUND((((ET38)-(EU38))+AE38),2)</f>
        <v>0</v>
      </c>
      <c r="AE38">
        <f>ROUND((EU38),2)</f>
        <v>0</v>
      </c>
      <c r="AF38">
        <f>ROUND((EV38),2)</f>
        <v>0</v>
      </c>
      <c r="AG38">
        <f t="shared" si="33"/>
        <v>0</v>
      </c>
      <c r="AH38">
        <f>(EW38)</f>
        <v>0</v>
      </c>
      <c r="AI38">
        <f>(EX38)</f>
        <v>0</v>
      </c>
      <c r="AJ38">
        <f t="shared" si="34"/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106</v>
      </c>
      <c r="AU38">
        <v>54</v>
      </c>
      <c r="AV38">
        <v>1</v>
      </c>
      <c r="AW38">
        <v>1</v>
      </c>
      <c r="AZ38">
        <v>6.13</v>
      </c>
      <c r="BA38">
        <v>1</v>
      </c>
      <c r="BB38">
        <v>1</v>
      </c>
      <c r="BC38">
        <v>6.13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3</v>
      </c>
      <c r="BM38">
        <v>10001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118</v>
      </c>
      <c r="CA38">
        <v>63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5"/>
        <v>0</v>
      </c>
      <c r="CQ38">
        <f t="shared" si="36"/>
        <v>0</v>
      </c>
      <c r="CR38">
        <f t="shared" si="37"/>
        <v>0</v>
      </c>
      <c r="CS38">
        <f t="shared" si="38"/>
        <v>0</v>
      </c>
      <c r="CT38">
        <f t="shared" si="39"/>
        <v>0</v>
      </c>
      <c r="CU38">
        <f t="shared" si="40"/>
        <v>0</v>
      </c>
      <c r="CV38">
        <f t="shared" si="41"/>
        <v>0</v>
      </c>
      <c r="CW38">
        <f t="shared" si="42"/>
        <v>0</v>
      </c>
      <c r="CX38">
        <f t="shared" si="43"/>
        <v>0</v>
      </c>
      <c r="CY38">
        <f t="shared" si="44"/>
        <v>0</v>
      </c>
      <c r="CZ38">
        <f t="shared" si="45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1003</v>
      </c>
      <c r="DV38" t="s">
        <v>74</v>
      </c>
      <c r="DW38" t="s">
        <v>74</v>
      </c>
      <c r="DX38">
        <v>1</v>
      </c>
      <c r="EE38">
        <v>39174503</v>
      </c>
      <c r="EF38">
        <v>2</v>
      </c>
      <c r="EG38" t="s">
        <v>13</v>
      </c>
      <c r="EH38">
        <v>0</v>
      </c>
      <c r="EI38" t="s">
        <v>3</v>
      </c>
      <c r="EJ38">
        <v>1</v>
      </c>
      <c r="EK38">
        <v>10001</v>
      </c>
      <c r="EL38" t="s">
        <v>55</v>
      </c>
      <c r="EM38" t="s">
        <v>56</v>
      </c>
      <c r="EO38" t="s">
        <v>3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46"/>
        <v>0</v>
      </c>
      <c r="FS38">
        <v>0</v>
      </c>
      <c r="FT38" t="s">
        <v>29</v>
      </c>
      <c r="FU38" t="s">
        <v>30</v>
      </c>
      <c r="FX38">
        <v>106.2</v>
      </c>
      <c r="FY38">
        <v>53.55</v>
      </c>
      <c r="GA38" t="s">
        <v>3</v>
      </c>
      <c r="GD38">
        <v>0</v>
      </c>
      <c r="GF38">
        <v>1170915945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7"/>
        <v>0</v>
      </c>
      <c r="GM38">
        <f t="shared" si="48"/>
        <v>0</v>
      </c>
      <c r="GN38">
        <f t="shared" si="49"/>
        <v>0</v>
      </c>
      <c r="GO38">
        <f t="shared" si="50"/>
        <v>0</v>
      </c>
      <c r="GP38">
        <f t="shared" si="51"/>
        <v>0</v>
      </c>
      <c r="GR38">
        <v>0</v>
      </c>
      <c r="GS38">
        <v>3</v>
      </c>
      <c r="GT38">
        <v>0</v>
      </c>
      <c r="GU38" t="s">
        <v>3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ROW(SmtRes!A65)</f>
        <v>65</v>
      </c>
      <c r="D39">
        <f>ROW(EtalonRes!A65)</f>
        <v>65</v>
      </c>
      <c r="E39" t="s">
        <v>79</v>
      </c>
      <c r="F39" t="s">
        <v>80</v>
      </c>
      <c r="G39" t="s">
        <v>81</v>
      </c>
      <c r="H39" t="s">
        <v>17</v>
      </c>
      <c r="I39">
        <f>ROUND(0.18/100,9)</f>
        <v>1.8E-3</v>
      </c>
      <c r="J39">
        <v>0</v>
      </c>
      <c r="O39">
        <f t="shared" si="21"/>
        <v>113.1</v>
      </c>
      <c r="P39">
        <f t="shared" si="22"/>
        <v>98.1</v>
      </c>
      <c r="Q39">
        <f t="shared" si="23"/>
        <v>0.36</v>
      </c>
      <c r="R39">
        <f t="shared" si="24"/>
        <v>0.06</v>
      </c>
      <c r="S39">
        <f t="shared" si="25"/>
        <v>14.64</v>
      </c>
      <c r="T39">
        <f t="shared" si="26"/>
        <v>0</v>
      </c>
      <c r="U39">
        <f t="shared" si="27"/>
        <v>0.28007100000000001</v>
      </c>
      <c r="V39">
        <f t="shared" si="28"/>
        <v>7.2900000000000005E-4</v>
      </c>
      <c r="W39">
        <f t="shared" si="29"/>
        <v>0</v>
      </c>
      <c r="X39">
        <f t="shared" si="30"/>
        <v>15.88</v>
      </c>
      <c r="Y39">
        <f t="shared" si="31"/>
        <v>8.09</v>
      </c>
      <c r="AA39">
        <v>39476960</v>
      </c>
      <c r="AB39">
        <f t="shared" si="32"/>
        <v>10250.64</v>
      </c>
      <c r="AC39">
        <f t="shared" si="54"/>
        <v>8890.58</v>
      </c>
      <c r="AD39">
        <f>ROUND((((((ET39*1.25)*1.2))-(((EU39*1.25)*1.2)))+AE39),2)</f>
        <v>32.83</v>
      </c>
      <c r="AE39">
        <f>ROUND((((EU39*1.25)*1.2)),2)</f>
        <v>5.27</v>
      </c>
      <c r="AF39">
        <f>ROUND((((EV39*1.15)*1.2)),2)</f>
        <v>1327.23</v>
      </c>
      <c r="AG39">
        <f t="shared" si="33"/>
        <v>0</v>
      </c>
      <c r="AH39">
        <f>(((EW39*1.15)*1.2))</f>
        <v>155.595</v>
      </c>
      <c r="AI39">
        <f>(((EX39*1.25)*1.2))</f>
        <v>0.40500000000000003</v>
      </c>
      <c r="AJ39">
        <f t="shared" si="34"/>
        <v>0</v>
      </c>
      <c r="AK39">
        <v>9874.2199999999993</v>
      </c>
      <c r="AL39">
        <v>8890.58</v>
      </c>
      <c r="AM39">
        <v>21.88</v>
      </c>
      <c r="AN39">
        <v>3.51</v>
      </c>
      <c r="AO39">
        <v>961.76</v>
      </c>
      <c r="AP39">
        <v>0</v>
      </c>
      <c r="AQ39">
        <v>112.75</v>
      </c>
      <c r="AR39">
        <v>0.27</v>
      </c>
      <c r="AS39">
        <v>0</v>
      </c>
      <c r="AT39">
        <v>108</v>
      </c>
      <c r="AU39">
        <v>55</v>
      </c>
      <c r="AV39">
        <v>1</v>
      </c>
      <c r="AW39">
        <v>1</v>
      </c>
      <c r="AZ39">
        <v>6.13</v>
      </c>
      <c r="BA39">
        <v>6.13</v>
      </c>
      <c r="BB39">
        <v>6.13</v>
      </c>
      <c r="BC39">
        <v>6.13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82</v>
      </c>
      <c r="BM39">
        <v>12001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6.13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120</v>
      </c>
      <c r="CA39">
        <v>65</v>
      </c>
      <c r="CF39">
        <v>0</v>
      </c>
      <c r="CG39">
        <v>0</v>
      </c>
      <c r="CM39">
        <v>0</v>
      </c>
      <c r="CN39" t="s">
        <v>1273</v>
      </c>
      <c r="CO39">
        <v>0</v>
      </c>
      <c r="CP39">
        <f t="shared" si="35"/>
        <v>113.1</v>
      </c>
      <c r="CQ39">
        <f t="shared" si="36"/>
        <v>54499.255400000002</v>
      </c>
      <c r="CR39">
        <f t="shared" si="37"/>
        <v>201.24789999999999</v>
      </c>
      <c r="CS39">
        <f t="shared" si="38"/>
        <v>32.305099999999996</v>
      </c>
      <c r="CT39">
        <f t="shared" si="39"/>
        <v>8135.9198999999999</v>
      </c>
      <c r="CU39">
        <f t="shared" si="40"/>
        <v>0</v>
      </c>
      <c r="CV39">
        <f t="shared" si="41"/>
        <v>155.595</v>
      </c>
      <c r="CW39">
        <f t="shared" si="42"/>
        <v>0.40500000000000003</v>
      </c>
      <c r="CX39">
        <f t="shared" si="43"/>
        <v>0</v>
      </c>
      <c r="CY39">
        <f t="shared" si="44"/>
        <v>15.876000000000001</v>
      </c>
      <c r="CZ39">
        <f t="shared" si="45"/>
        <v>8.0850000000000009</v>
      </c>
      <c r="DC39" t="s">
        <v>3</v>
      </c>
      <c r="DD39" t="s">
        <v>3</v>
      </c>
      <c r="DE39" t="s">
        <v>53</v>
      </c>
      <c r="DF39" t="s">
        <v>53</v>
      </c>
      <c r="DG39" t="s">
        <v>54</v>
      </c>
      <c r="DH39" t="s">
        <v>3</v>
      </c>
      <c r="DI39" t="s">
        <v>54</v>
      </c>
      <c r="DJ39" t="s">
        <v>53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17</v>
      </c>
      <c r="DW39" t="s">
        <v>17</v>
      </c>
      <c r="DX39">
        <v>100</v>
      </c>
      <c r="EE39">
        <v>39174505</v>
      </c>
      <c r="EF39">
        <v>2</v>
      </c>
      <c r="EG39" t="s">
        <v>13</v>
      </c>
      <c r="EH39">
        <v>0</v>
      </c>
      <c r="EI39" t="s">
        <v>3</v>
      </c>
      <c r="EJ39">
        <v>1</v>
      </c>
      <c r="EK39">
        <v>12001</v>
      </c>
      <c r="EL39" t="s">
        <v>83</v>
      </c>
      <c r="EM39" t="s">
        <v>84</v>
      </c>
      <c r="EO39" t="s">
        <v>57</v>
      </c>
      <c r="EQ39">
        <v>0</v>
      </c>
      <c r="ER39">
        <v>9874.2199999999993</v>
      </c>
      <c r="ES39">
        <v>8890.58</v>
      </c>
      <c r="ET39">
        <v>21.88</v>
      </c>
      <c r="EU39">
        <v>3.51</v>
      </c>
      <c r="EV39">
        <v>961.76</v>
      </c>
      <c r="EW39">
        <v>112.75</v>
      </c>
      <c r="EX39">
        <v>0.27</v>
      </c>
      <c r="EY39">
        <v>0</v>
      </c>
      <c r="FQ39">
        <v>0</v>
      </c>
      <c r="FR39">
        <f t="shared" si="46"/>
        <v>0</v>
      </c>
      <c r="FS39">
        <v>0</v>
      </c>
      <c r="FT39" t="s">
        <v>29</v>
      </c>
      <c r="FU39" t="s">
        <v>30</v>
      </c>
      <c r="FX39">
        <v>108</v>
      </c>
      <c r="FY39">
        <v>55.25</v>
      </c>
      <c r="GA39" t="s">
        <v>3</v>
      </c>
      <c r="GD39">
        <v>0</v>
      </c>
      <c r="GF39">
        <v>-1197977700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7"/>
        <v>0</v>
      </c>
      <c r="GM39">
        <f t="shared" si="48"/>
        <v>137.07</v>
      </c>
      <c r="GN39">
        <f t="shared" si="49"/>
        <v>137.07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3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ROW(SmtRes!A77)</f>
        <v>77</v>
      </c>
      <c r="D40">
        <f>ROW(EtalonRes!A76)</f>
        <v>76</v>
      </c>
      <c r="E40" t="s">
        <v>85</v>
      </c>
      <c r="F40" t="s">
        <v>86</v>
      </c>
      <c r="G40" t="s">
        <v>87</v>
      </c>
      <c r="H40" t="s">
        <v>17</v>
      </c>
      <c r="I40">
        <f>ROUND(19.2/100,9)</f>
        <v>0.192</v>
      </c>
      <c r="J40">
        <v>0</v>
      </c>
      <c r="O40">
        <f t="shared" si="21"/>
        <v>19745.04</v>
      </c>
      <c r="P40">
        <f t="shared" si="22"/>
        <v>16380.46</v>
      </c>
      <c r="Q40">
        <f t="shared" si="23"/>
        <v>472.09</v>
      </c>
      <c r="R40">
        <f t="shared" si="24"/>
        <v>98.15</v>
      </c>
      <c r="S40">
        <f t="shared" si="25"/>
        <v>2892.49</v>
      </c>
      <c r="T40">
        <f t="shared" si="26"/>
        <v>0</v>
      </c>
      <c r="U40">
        <f t="shared" si="27"/>
        <v>53.256959999999992</v>
      </c>
      <c r="V40">
        <f t="shared" si="28"/>
        <v>1.3305600000000002</v>
      </c>
      <c r="W40">
        <f t="shared" si="29"/>
        <v>0</v>
      </c>
      <c r="X40">
        <f t="shared" si="30"/>
        <v>3170.08</v>
      </c>
      <c r="Y40">
        <f t="shared" si="31"/>
        <v>1614.95</v>
      </c>
      <c r="AA40">
        <v>39476960</v>
      </c>
      <c r="AB40">
        <f t="shared" si="32"/>
        <v>16776.3</v>
      </c>
      <c r="AC40">
        <f t="shared" si="54"/>
        <v>13917.6</v>
      </c>
      <c r="AD40">
        <f>ROUND((((((ET40*1.25)*1.2))-(((EU40*1.25)*1.2)))+AE40),2)</f>
        <v>401.11</v>
      </c>
      <c r="AE40">
        <f>ROUND((((EU40*1.25)*1.2)),2)</f>
        <v>83.39</v>
      </c>
      <c r="AF40">
        <f>ROUND((((EV40*1.15)*1.2)),2)</f>
        <v>2457.59</v>
      </c>
      <c r="AG40">
        <f t="shared" si="33"/>
        <v>0</v>
      </c>
      <c r="AH40">
        <f>(((EW40*1.15)*1.2))</f>
        <v>277.37999999999994</v>
      </c>
      <c r="AI40">
        <f>(((EX40*1.25)*1.2))</f>
        <v>6.9300000000000006</v>
      </c>
      <c r="AJ40">
        <f t="shared" si="34"/>
        <v>0</v>
      </c>
      <c r="AK40">
        <v>15965.86</v>
      </c>
      <c r="AL40">
        <v>13917.6</v>
      </c>
      <c r="AM40">
        <v>267.39999999999998</v>
      </c>
      <c r="AN40">
        <v>55.59</v>
      </c>
      <c r="AO40">
        <v>1780.86</v>
      </c>
      <c r="AP40">
        <v>0</v>
      </c>
      <c r="AQ40">
        <v>201</v>
      </c>
      <c r="AR40">
        <v>4.62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6.13</v>
      </c>
      <c r="BA40">
        <v>6.13</v>
      </c>
      <c r="BB40">
        <v>6.13</v>
      </c>
      <c r="BC40">
        <v>6.13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88</v>
      </c>
      <c r="BM40">
        <v>10001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6.13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118</v>
      </c>
      <c r="CA40">
        <v>63</v>
      </c>
      <c r="CF40">
        <v>0</v>
      </c>
      <c r="CG40">
        <v>0</v>
      </c>
      <c r="CM40">
        <v>0</v>
      </c>
      <c r="CN40" t="s">
        <v>1274</v>
      </c>
      <c r="CO40">
        <v>0</v>
      </c>
      <c r="CP40">
        <f t="shared" si="35"/>
        <v>19745.04</v>
      </c>
      <c r="CQ40">
        <f t="shared" si="36"/>
        <v>85314.888000000006</v>
      </c>
      <c r="CR40">
        <f t="shared" si="37"/>
        <v>2458.8043000000002</v>
      </c>
      <c r="CS40">
        <f t="shared" si="38"/>
        <v>511.1807</v>
      </c>
      <c r="CT40">
        <f t="shared" si="39"/>
        <v>15065.0267</v>
      </c>
      <c r="CU40">
        <f t="shared" si="40"/>
        <v>0</v>
      </c>
      <c r="CV40">
        <f t="shared" si="41"/>
        <v>277.37999999999994</v>
      </c>
      <c r="CW40">
        <f t="shared" si="42"/>
        <v>6.9300000000000006</v>
      </c>
      <c r="CX40">
        <f t="shared" si="43"/>
        <v>0</v>
      </c>
      <c r="CY40">
        <f t="shared" si="44"/>
        <v>3170.0783999999999</v>
      </c>
      <c r="CZ40">
        <f t="shared" si="45"/>
        <v>1614.9456</v>
      </c>
      <c r="DC40" t="s">
        <v>3</v>
      </c>
      <c r="DD40" t="s">
        <v>3</v>
      </c>
      <c r="DE40" t="s">
        <v>53</v>
      </c>
      <c r="DF40" t="s">
        <v>53</v>
      </c>
      <c r="DG40" t="s">
        <v>54</v>
      </c>
      <c r="DH40" t="s">
        <v>3</v>
      </c>
      <c r="DI40" t="s">
        <v>54</v>
      </c>
      <c r="DJ40" t="s">
        <v>53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17</v>
      </c>
      <c r="DW40" t="s">
        <v>17</v>
      </c>
      <c r="DX40">
        <v>100</v>
      </c>
      <c r="EE40">
        <v>39174503</v>
      </c>
      <c r="EF40">
        <v>2</v>
      </c>
      <c r="EG40" t="s">
        <v>13</v>
      </c>
      <c r="EH40">
        <v>0</v>
      </c>
      <c r="EI40" t="s">
        <v>3</v>
      </c>
      <c r="EJ40">
        <v>1</v>
      </c>
      <c r="EK40">
        <v>10001</v>
      </c>
      <c r="EL40" t="s">
        <v>55</v>
      </c>
      <c r="EM40" t="s">
        <v>56</v>
      </c>
      <c r="EO40" t="s">
        <v>89</v>
      </c>
      <c r="EQ40">
        <v>0</v>
      </c>
      <c r="ER40">
        <v>15965.86</v>
      </c>
      <c r="ES40">
        <v>13917.6</v>
      </c>
      <c r="ET40">
        <v>267.39999999999998</v>
      </c>
      <c r="EU40">
        <v>55.59</v>
      </c>
      <c r="EV40">
        <v>1780.86</v>
      </c>
      <c r="EW40">
        <v>201</v>
      </c>
      <c r="EX40">
        <v>4.62</v>
      </c>
      <c r="EY40">
        <v>0</v>
      </c>
      <c r="FQ40">
        <v>0</v>
      </c>
      <c r="FR40">
        <f t="shared" si="46"/>
        <v>0</v>
      </c>
      <c r="FS40">
        <v>0</v>
      </c>
      <c r="FT40" t="s">
        <v>29</v>
      </c>
      <c r="FU40" t="s">
        <v>30</v>
      </c>
      <c r="FX40">
        <v>106.2</v>
      </c>
      <c r="FY40">
        <v>53.55</v>
      </c>
      <c r="GA40" t="s">
        <v>3</v>
      </c>
      <c r="GD40">
        <v>0</v>
      </c>
      <c r="GF40">
        <v>-1780211588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7"/>
        <v>0</v>
      </c>
      <c r="GM40">
        <f t="shared" si="48"/>
        <v>24530.07</v>
      </c>
      <c r="GN40">
        <f t="shared" si="49"/>
        <v>24530.07</v>
      </c>
      <c r="GO40">
        <f t="shared" si="50"/>
        <v>0</v>
      </c>
      <c r="GP40">
        <f t="shared" si="51"/>
        <v>0</v>
      </c>
      <c r="GR40">
        <v>0</v>
      </c>
      <c r="GS40">
        <v>3</v>
      </c>
      <c r="GT40">
        <v>0</v>
      </c>
      <c r="GU40" t="s">
        <v>3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74</v>
      </c>
      <c r="E41" t="s">
        <v>90</v>
      </c>
      <c r="F41" t="s">
        <v>91</v>
      </c>
      <c r="G41" t="s">
        <v>92</v>
      </c>
      <c r="H41" t="s">
        <v>61</v>
      </c>
      <c r="I41">
        <f>I40*J41</f>
        <v>19.2</v>
      </c>
      <c r="J41">
        <v>100</v>
      </c>
      <c r="O41">
        <f t="shared" si="21"/>
        <v>183059.65</v>
      </c>
      <c r="P41">
        <f t="shared" si="22"/>
        <v>183059.65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39476960</v>
      </c>
      <c r="AB41">
        <f t="shared" si="32"/>
        <v>1555.36</v>
      </c>
      <c r="AC41">
        <f t="shared" si="54"/>
        <v>1555.36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33"/>
        <v>0</v>
      </c>
      <c r="AH41">
        <f>(EW41)</f>
        <v>0</v>
      </c>
      <c r="AI41">
        <f>(EX41)</f>
        <v>0</v>
      </c>
      <c r="AJ41">
        <f t="shared" si="34"/>
        <v>0</v>
      </c>
      <c r="AK41">
        <v>1555.36</v>
      </c>
      <c r="AL41">
        <v>1555.36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6.13</v>
      </c>
      <c r="BA41">
        <v>1</v>
      </c>
      <c r="BB41">
        <v>1</v>
      </c>
      <c r="BC41">
        <v>6.13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93</v>
      </c>
      <c r="BM41">
        <v>10001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5"/>
        <v>183059.65</v>
      </c>
      <c r="CQ41">
        <f t="shared" si="36"/>
        <v>9534.3567999999996</v>
      </c>
      <c r="CR41">
        <f t="shared" si="37"/>
        <v>0</v>
      </c>
      <c r="CS41">
        <f t="shared" si="38"/>
        <v>0</v>
      </c>
      <c r="CT41">
        <f t="shared" si="39"/>
        <v>0</v>
      </c>
      <c r="CU41">
        <f t="shared" si="40"/>
        <v>0</v>
      </c>
      <c r="CV41">
        <f t="shared" si="41"/>
        <v>0</v>
      </c>
      <c r="CW41">
        <f t="shared" si="42"/>
        <v>0</v>
      </c>
      <c r="CX41">
        <f t="shared" si="43"/>
        <v>0</v>
      </c>
      <c r="CY41">
        <f t="shared" si="44"/>
        <v>0</v>
      </c>
      <c r="CZ41">
        <f t="shared" si="45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61</v>
      </c>
      <c r="DW41" t="s">
        <v>61</v>
      </c>
      <c r="DX41">
        <v>1</v>
      </c>
      <c r="EE41">
        <v>39174503</v>
      </c>
      <c r="EF41">
        <v>2</v>
      </c>
      <c r="EG41" t="s">
        <v>13</v>
      </c>
      <c r="EH41">
        <v>0</v>
      </c>
      <c r="EI41" t="s">
        <v>3</v>
      </c>
      <c r="EJ41">
        <v>1</v>
      </c>
      <c r="EK41">
        <v>10001</v>
      </c>
      <c r="EL41" t="s">
        <v>55</v>
      </c>
      <c r="EM41" t="s">
        <v>56</v>
      </c>
      <c r="EO41" t="s">
        <v>3</v>
      </c>
      <c r="EQ41">
        <v>0</v>
      </c>
      <c r="ER41">
        <v>1555.36</v>
      </c>
      <c r="ES41">
        <v>1555.36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6"/>
        <v>0</v>
      </c>
      <c r="FS41">
        <v>0</v>
      </c>
      <c r="FT41" t="s">
        <v>29</v>
      </c>
      <c r="FU41" t="s">
        <v>30</v>
      </c>
      <c r="FX41">
        <v>106.2</v>
      </c>
      <c r="FY41">
        <v>53.55</v>
      </c>
      <c r="GA41" t="s">
        <v>3</v>
      </c>
      <c r="GD41">
        <v>0</v>
      </c>
      <c r="GF41">
        <v>-1993953072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7"/>
        <v>0</v>
      </c>
      <c r="GM41">
        <f t="shared" si="48"/>
        <v>183059.65</v>
      </c>
      <c r="GN41">
        <f t="shared" si="49"/>
        <v>183059.65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3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75</v>
      </c>
      <c r="E42" t="s">
        <v>94</v>
      </c>
      <c r="F42" t="s">
        <v>95</v>
      </c>
      <c r="G42" t="s">
        <v>96</v>
      </c>
      <c r="H42" t="s">
        <v>61</v>
      </c>
      <c r="I42">
        <f>I40*J42</f>
        <v>19.2</v>
      </c>
      <c r="J42">
        <v>100</v>
      </c>
      <c r="O42">
        <f t="shared" si="21"/>
        <v>0</v>
      </c>
      <c r="P42">
        <f t="shared" si="22"/>
        <v>0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39476960</v>
      </c>
      <c r="AB42">
        <f t="shared" si="32"/>
        <v>0</v>
      </c>
      <c r="AC42">
        <f t="shared" si="54"/>
        <v>0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33"/>
        <v>0</v>
      </c>
      <c r="AH42">
        <f>(EW42)</f>
        <v>0</v>
      </c>
      <c r="AI42">
        <f>(EX42)</f>
        <v>0</v>
      </c>
      <c r="AJ42">
        <f t="shared" si="34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106</v>
      </c>
      <c r="AU42">
        <v>54</v>
      </c>
      <c r="AV42">
        <v>1</v>
      </c>
      <c r="AW42">
        <v>1</v>
      </c>
      <c r="AZ42">
        <v>6.13</v>
      </c>
      <c r="BA42">
        <v>1</v>
      </c>
      <c r="BB42">
        <v>1</v>
      </c>
      <c r="BC42">
        <v>6.13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10001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118</v>
      </c>
      <c r="CA42">
        <v>63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5"/>
        <v>0</v>
      </c>
      <c r="CQ42">
        <f t="shared" si="36"/>
        <v>0</v>
      </c>
      <c r="CR42">
        <f t="shared" si="37"/>
        <v>0</v>
      </c>
      <c r="CS42">
        <f t="shared" si="38"/>
        <v>0</v>
      </c>
      <c r="CT42">
        <f t="shared" si="39"/>
        <v>0</v>
      </c>
      <c r="CU42">
        <f t="shared" si="40"/>
        <v>0</v>
      </c>
      <c r="CV42">
        <f t="shared" si="41"/>
        <v>0</v>
      </c>
      <c r="CW42">
        <f t="shared" si="42"/>
        <v>0</v>
      </c>
      <c r="CX42">
        <f t="shared" si="43"/>
        <v>0</v>
      </c>
      <c r="CY42">
        <f t="shared" si="44"/>
        <v>0</v>
      </c>
      <c r="CZ42">
        <f t="shared" si="45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61</v>
      </c>
      <c r="DW42" t="s">
        <v>61</v>
      </c>
      <c r="DX42">
        <v>1</v>
      </c>
      <c r="EE42">
        <v>39174503</v>
      </c>
      <c r="EF42">
        <v>2</v>
      </c>
      <c r="EG42" t="s">
        <v>13</v>
      </c>
      <c r="EH42">
        <v>0</v>
      </c>
      <c r="EI42" t="s">
        <v>3</v>
      </c>
      <c r="EJ42">
        <v>1</v>
      </c>
      <c r="EK42">
        <v>10001</v>
      </c>
      <c r="EL42" t="s">
        <v>55</v>
      </c>
      <c r="EM42" t="s">
        <v>56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6"/>
        <v>0</v>
      </c>
      <c r="FS42">
        <v>0</v>
      </c>
      <c r="FT42" t="s">
        <v>29</v>
      </c>
      <c r="FU42" t="s">
        <v>30</v>
      </c>
      <c r="FX42">
        <v>106.2</v>
      </c>
      <c r="FY42">
        <v>53.55</v>
      </c>
      <c r="GA42" t="s">
        <v>3</v>
      </c>
      <c r="GD42">
        <v>0</v>
      </c>
      <c r="GF42">
        <v>1258665497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7"/>
        <v>0</v>
      </c>
      <c r="GM42">
        <f t="shared" si="48"/>
        <v>0</v>
      </c>
      <c r="GN42">
        <f t="shared" si="49"/>
        <v>0</v>
      </c>
      <c r="GO42">
        <f t="shared" si="50"/>
        <v>0</v>
      </c>
      <c r="GP42">
        <f t="shared" si="51"/>
        <v>0</v>
      </c>
      <c r="GR42">
        <v>0</v>
      </c>
      <c r="GS42">
        <v>3</v>
      </c>
      <c r="GT42">
        <v>0</v>
      </c>
      <c r="GU42" t="s">
        <v>3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ROW(SmtRes!A83)</f>
        <v>83</v>
      </c>
      <c r="D43">
        <f>ROW(EtalonRes!A81)</f>
        <v>81</v>
      </c>
      <c r="E43" t="s">
        <v>97</v>
      </c>
      <c r="F43" t="s">
        <v>98</v>
      </c>
      <c r="G43" t="s">
        <v>99</v>
      </c>
      <c r="H43" t="s">
        <v>69</v>
      </c>
      <c r="I43">
        <f>ROUND(176/100,9)</f>
        <v>1.76</v>
      </c>
      <c r="J43">
        <v>0</v>
      </c>
      <c r="O43">
        <f t="shared" si="21"/>
        <v>1085.57</v>
      </c>
      <c r="P43">
        <f t="shared" si="22"/>
        <v>91.7</v>
      </c>
      <c r="Q43">
        <f t="shared" si="23"/>
        <v>42.62</v>
      </c>
      <c r="R43">
        <f t="shared" si="24"/>
        <v>7.44</v>
      </c>
      <c r="S43">
        <f t="shared" si="25"/>
        <v>951.25</v>
      </c>
      <c r="T43">
        <f t="shared" si="26"/>
        <v>0</v>
      </c>
      <c r="U43">
        <f t="shared" si="27"/>
        <v>18.993216</v>
      </c>
      <c r="V43">
        <f t="shared" si="28"/>
        <v>0.1056</v>
      </c>
      <c r="W43">
        <f t="shared" si="29"/>
        <v>0</v>
      </c>
      <c r="X43">
        <f t="shared" si="30"/>
        <v>1016.21</v>
      </c>
      <c r="Y43">
        <f t="shared" si="31"/>
        <v>517.69000000000005</v>
      </c>
      <c r="AA43">
        <v>39476960</v>
      </c>
      <c r="AB43">
        <f t="shared" si="32"/>
        <v>100.62</v>
      </c>
      <c r="AC43">
        <f t="shared" si="54"/>
        <v>8.5</v>
      </c>
      <c r="AD43">
        <f>ROUND((((((ET43*1.25)*1.2))-(((EU43*1.25)*1.2)))+AE43),2)</f>
        <v>3.95</v>
      </c>
      <c r="AE43">
        <f>ROUND((((EU43*1.25)*1.2)),2)</f>
        <v>0.69</v>
      </c>
      <c r="AF43">
        <f>ROUND((((EV43*1.15)*1.2)),2)</f>
        <v>88.17</v>
      </c>
      <c r="AG43">
        <f t="shared" si="33"/>
        <v>0</v>
      </c>
      <c r="AH43">
        <f>(((EW43*1.15)*1.2))</f>
        <v>10.791600000000001</v>
      </c>
      <c r="AI43">
        <f>(((EX43*1.25)*1.2))</f>
        <v>0.06</v>
      </c>
      <c r="AJ43">
        <f t="shared" si="34"/>
        <v>0</v>
      </c>
      <c r="AK43">
        <v>75.02</v>
      </c>
      <c r="AL43">
        <v>8.5</v>
      </c>
      <c r="AM43">
        <v>2.63</v>
      </c>
      <c r="AN43">
        <v>0.46</v>
      </c>
      <c r="AO43">
        <v>63.89</v>
      </c>
      <c r="AP43">
        <v>0</v>
      </c>
      <c r="AQ43">
        <v>7.82</v>
      </c>
      <c r="AR43">
        <v>0.04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6.13</v>
      </c>
      <c r="BA43">
        <v>6.13</v>
      </c>
      <c r="BB43">
        <v>6.13</v>
      </c>
      <c r="BC43">
        <v>6.13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100</v>
      </c>
      <c r="BM43">
        <v>10001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6.13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1274</v>
      </c>
      <c r="CO43">
        <v>0</v>
      </c>
      <c r="CP43">
        <f t="shared" si="35"/>
        <v>1085.57</v>
      </c>
      <c r="CQ43">
        <f t="shared" si="36"/>
        <v>52.104999999999997</v>
      </c>
      <c r="CR43">
        <f t="shared" si="37"/>
        <v>24.2135</v>
      </c>
      <c r="CS43">
        <f t="shared" si="38"/>
        <v>4.2296999999999993</v>
      </c>
      <c r="CT43">
        <f t="shared" si="39"/>
        <v>540.48209999999995</v>
      </c>
      <c r="CU43">
        <f t="shared" si="40"/>
        <v>0</v>
      </c>
      <c r="CV43">
        <f t="shared" si="41"/>
        <v>10.791600000000001</v>
      </c>
      <c r="CW43">
        <f t="shared" si="42"/>
        <v>0.06</v>
      </c>
      <c r="CX43">
        <f t="shared" si="43"/>
        <v>0</v>
      </c>
      <c r="CY43">
        <f t="shared" si="44"/>
        <v>1016.2114</v>
      </c>
      <c r="CZ43">
        <f t="shared" si="45"/>
        <v>517.69259999999997</v>
      </c>
      <c r="DC43" t="s">
        <v>3</v>
      </c>
      <c r="DD43" t="s">
        <v>3</v>
      </c>
      <c r="DE43" t="s">
        <v>53</v>
      </c>
      <c r="DF43" t="s">
        <v>53</v>
      </c>
      <c r="DG43" t="s">
        <v>54</v>
      </c>
      <c r="DH43" t="s">
        <v>3</v>
      </c>
      <c r="DI43" t="s">
        <v>54</v>
      </c>
      <c r="DJ43" t="s">
        <v>53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69</v>
      </c>
      <c r="DW43" t="s">
        <v>69</v>
      </c>
      <c r="DX43">
        <v>100</v>
      </c>
      <c r="EE43">
        <v>39174503</v>
      </c>
      <c r="EF43">
        <v>2</v>
      </c>
      <c r="EG43" t="s">
        <v>13</v>
      </c>
      <c r="EH43">
        <v>0</v>
      </c>
      <c r="EI43" t="s">
        <v>3</v>
      </c>
      <c r="EJ43">
        <v>1</v>
      </c>
      <c r="EK43">
        <v>10001</v>
      </c>
      <c r="EL43" t="s">
        <v>55</v>
      </c>
      <c r="EM43" t="s">
        <v>56</v>
      </c>
      <c r="EO43" t="s">
        <v>89</v>
      </c>
      <c r="EQ43">
        <v>0</v>
      </c>
      <c r="ER43">
        <v>75.02</v>
      </c>
      <c r="ES43">
        <v>8.5</v>
      </c>
      <c r="ET43">
        <v>2.63</v>
      </c>
      <c r="EU43">
        <v>0.46</v>
      </c>
      <c r="EV43">
        <v>63.89</v>
      </c>
      <c r="EW43">
        <v>7.82</v>
      </c>
      <c r="EX43">
        <v>0.04</v>
      </c>
      <c r="EY43">
        <v>0</v>
      </c>
      <c r="FQ43">
        <v>0</v>
      </c>
      <c r="FR43">
        <f t="shared" si="46"/>
        <v>0</v>
      </c>
      <c r="FS43">
        <v>0</v>
      </c>
      <c r="FT43" t="s">
        <v>29</v>
      </c>
      <c r="FU43" t="s">
        <v>30</v>
      </c>
      <c r="FX43">
        <v>106.2</v>
      </c>
      <c r="FY43">
        <v>53.55</v>
      </c>
      <c r="GA43" t="s">
        <v>3</v>
      </c>
      <c r="GD43">
        <v>0</v>
      </c>
      <c r="GF43">
        <v>-971434034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7"/>
        <v>0</v>
      </c>
      <c r="GM43">
        <f t="shared" si="48"/>
        <v>2619.4699999999998</v>
      </c>
      <c r="GN43">
        <f t="shared" si="49"/>
        <v>2619.4699999999998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3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83</v>
      </c>
      <c r="E44" t="s">
        <v>101</v>
      </c>
      <c r="F44" t="s">
        <v>102</v>
      </c>
      <c r="G44" t="s">
        <v>103</v>
      </c>
      <c r="H44" t="s">
        <v>74</v>
      </c>
      <c r="I44">
        <f>I43*J44</f>
        <v>197.12</v>
      </c>
      <c r="J44">
        <v>112</v>
      </c>
      <c r="O44">
        <f t="shared" si="21"/>
        <v>40334.58</v>
      </c>
      <c r="P44">
        <f t="shared" si="22"/>
        <v>40334.58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39476960</v>
      </c>
      <c r="AB44">
        <f t="shared" si="32"/>
        <v>33.380000000000003</v>
      </c>
      <c r="AC44">
        <f t="shared" si="54"/>
        <v>33.380000000000003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 t="shared" si="33"/>
        <v>0</v>
      </c>
      <c r="AH44">
        <f>(EW44)</f>
        <v>0</v>
      </c>
      <c r="AI44">
        <f>(EX44)</f>
        <v>0</v>
      </c>
      <c r="AJ44">
        <f t="shared" si="34"/>
        <v>0</v>
      </c>
      <c r="AK44">
        <v>33.380000000000003</v>
      </c>
      <c r="AL44">
        <v>33.380000000000003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106</v>
      </c>
      <c r="AU44">
        <v>54</v>
      </c>
      <c r="AV44">
        <v>1</v>
      </c>
      <c r="AW44">
        <v>1</v>
      </c>
      <c r="AZ44">
        <v>6.13</v>
      </c>
      <c r="BA44">
        <v>1</v>
      </c>
      <c r="BB44">
        <v>1</v>
      </c>
      <c r="BC44">
        <v>6.13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104</v>
      </c>
      <c r="BM44">
        <v>10001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118</v>
      </c>
      <c r="CA44">
        <v>63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5"/>
        <v>40334.58</v>
      </c>
      <c r="CQ44">
        <f t="shared" si="36"/>
        <v>204.61940000000001</v>
      </c>
      <c r="CR44">
        <f t="shared" si="37"/>
        <v>0</v>
      </c>
      <c r="CS44">
        <f t="shared" si="38"/>
        <v>0</v>
      </c>
      <c r="CT44">
        <f t="shared" si="39"/>
        <v>0</v>
      </c>
      <c r="CU44">
        <f t="shared" si="40"/>
        <v>0</v>
      </c>
      <c r="CV44">
        <f t="shared" si="41"/>
        <v>0</v>
      </c>
      <c r="CW44">
        <f t="shared" si="42"/>
        <v>0</v>
      </c>
      <c r="CX44">
        <f t="shared" si="43"/>
        <v>0</v>
      </c>
      <c r="CY44">
        <f t="shared" si="44"/>
        <v>0</v>
      </c>
      <c r="CZ44">
        <f t="shared" si="45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1003</v>
      </c>
      <c r="DV44" t="s">
        <v>74</v>
      </c>
      <c r="DW44" t="s">
        <v>74</v>
      </c>
      <c r="DX44">
        <v>1</v>
      </c>
      <c r="EE44">
        <v>39174503</v>
      </c>
      <c r="EF44">
        <v>2</v>
      </c>
      <c r="EG44" t="s">
        <v>13</v>
      </c>
      <c r="EH44">
        <v>0</v>
      </c>
      <c r="EI44" t="s">
        <v>3</v>
      </c>
      <c r="EJ44">
        <v>1</v>
      </c>
      <c r="EK44">
        <v>10001</v>
      </c>
      <c r="EL44" t="s">
        <v>55</v>
      </c>
      <c r="EM44" t="s">
        <v>56</v>
      </c>
      <c r="EO44" t="s">
        <v>3</v>
      </c>
      <c r="EQ44">
        <v>0</v>
      </c>
      <c r="ER44">
        <v>33.380000000000003</v>
      </c>
      <c r="ES44">
        <v>33.380000000000003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6"/>
        <v>0</v>
      </c>
      <c r="FS44">
        <v>0</v>
      </c>
      <c r="FT44" t="s">
        <v>29</v>
      </c>
      <c r="FU44" t="s">
        <v>30</v>
      </c>
      <c r="FX44">
        <v>106.2</v>
      </c>
      <c r="FY44">
        <v>53.55</v>
      </c>
      <c r="GA44" t="s">
        <v>3</v>
      </c>
      <c r="GD44">
        <v>0</v>
      </c>
      <c r="GF44">
        <v>1235396721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7"/>
        <v>0</v>
      </c>
      <c r="GM44">
        <f t="shared" si="48"/>
        <v>40334.58</v>
      </c>
      <c r="GN44">
        <f t="shared" si="49"/>
        <v>40334.58</v>
      </c>
      <c r="GO44">
        <f t="shared" si="50"/>
        <v>0</v>
      </c>
      <c r="GP44">
        <f t="shared" si="51"/>
        <v>0</v>
      </c>
      <c r="GR44">
        <v>0</v>
      </c>
      <c r="GS44">
        <v>3</v>
      </c>
      <c r="GT44">
        <v>0</v>
      </c>
      <c r="GU44" t="s">
        <v>3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82</v>
      </c>
      <c r="E45" t="s">
        <v>105</v>
      </c>
      <c r="F45" t="s">
        <v>106</v>
      </c>
      <c r="G45" t="s">
        <v>107</v>
      </c>
      <c r="H45" t="s">
        <v>74</v>
      </c>
      <c r="I45">
        <f>I43*J45</f>
        <v>197.12</v>
      </c>
      <c r="J45">
        <v>112</v>
      </c>
      <c r="O45">
        <f t="shared" si="21"/>
        <v>0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39476960</v>
      </c>
      <c r="AB45">
        <f t="shared" si="32"/>
        <v>0</v>
      </c>
      <c r="AC45">
        <f t="shared" si="54"/>
        <v>0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33"/>
        <v>0</v>
      </c>
      <c r="AH45">
        <f>(EW45)</f>
        <v>0</v>
      </c>
      <c r="AI45">
        <f>(EX45)</f>
        <v>0</v>
      </c>
      <c r="AJ45">
        <f t="shared" si="34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6.13</v>
      </c>
      <c r="BA45">
        <v>1</v>
      </c>
      <c r="BB45">
        <v>1</v>
      </c>
      <c r="BC45">
        <v>6.13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10001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5"/>
        <v>0</v>
      </c>
      <c r="CQ45">
        <f t="shared" si="36"/>
        <v>0</v>
      </c>
      <c r="CR45">
        <f t="shared" si="37"/>
        <v>0</v>
      </c>
      <c r="CS45">
        <f t="shared" si="38"/>
        <v>0</v>
      </c>
      <c r="CT45">
        <f t="shared" si="39"/>
        <v>0</v>
      </c>
      <c r="CU45">
        <f t="shared" si="40"/>
        <v>0</v>
      </c>
      <c r="CV45">
        <f t="shared" si="41"/>
        <v>0</v>
      </c>
      <c r="CW45">
        <f t="shared" si="42"/>
        <v>0</v>
      </c>
      <c r="CX45">
        <f t="shared" si="43"/>
        <v>0</v>
      </c>
      <c r="CY45">
        <f t="shared" si="44"/>
        <v>0</v>
      </c>
      <c r="CZ45">
        <f t="shared" si="45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74</v>
      </c>
      <c r="DW45" t="s">
        <v>74</v>
      </c>
      <c r="DX45">
        <v>1</v>
      </c>
      <c r="EE45">
        <v>39174503</v>
      </c>
      <c r="EF45">
        <v>2</v>
      </c>
      <c r="EG45" t="s">
        <v>13</v>
      </c>
      <c r="EH45">
        <v>0</v>
      </c>
      <c r="EI45" t="s">
        <v>3</v>
      </c>
      <c r="EJ45">
        <v>1</v>
      </c>
      <c r="EK45">
        <v>10001</v>
      </c>
      <c r="EL45" t="s">
        <v>55</v>
      </c>
      <c r="EM45" t="s">
        <v>56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6"/>
        <v>0</v>
      </c>
      <c r="FS45">
        <v>0</v>
      </c>
      <c r="FT45" t="s">
        <v>29</v>
      </c>
      <c r="FU45" t="s">
        <v>30</v>
      </c>
      <c r="FX45">
        <v>106.2</v>
      </c>
      <c r="FY45">
        <v>53.55</v>
      </c>
      <c r="GA45" t="s">
        <v>3</v>
      </c>
      <c r="GD45">
        <v>0</v>
      </c>
      <c r="GF45">
        <v>1542502361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7"/>
        <v>0</v>
      </c>
      <c r="GM45">
        <f t="shared" si="48"/>
        <v>0</v>
      </c>
      <c r="GN45">
        <f t="shared" si="49"/>
        <v>0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3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ROW(SmtRes!A101)</f>
        <v>101</v>
      </c>
      <c r="D46">
        <f>ROW(EtalonRes!A98)</f>
        <v>98</v>
      </c>
      <c r="E46" t="s">
        <v>108</v>
      </c>
      <c r="F46" t="s">
        <v>109</v>
      </c>
      <c r="G46" t="s">
        <v>110</v>
      </c>
      <c r="H46" t="s">
        <v>17</v>
      </c>
      <c r="I46">
        <f>ROUND(76.6/100,9)</f>
        <v>0.76600000000000001</v>
      </c>
      <c r="J46">
        <v>0</v>
      </c>
      <c r="O46">
        <f t="shared" si="21"/>
        <v>39235.42</v>
      </c>
      <c r="P46">
        <f t="shared" si="22"/>
        <v>19253.900000000001</v>
      </c>
      <c r="Q46">
        <f t="shared" si="23"/>
        <v>1339.41</v>
      </c>
      <c r="R46">
        <f t="shared" si="24"/>
        <v>196.74</v>
      </c>
      <c r="S46">
        <f t="shared" si="25"/>
        <v>18642.11</v>
      </c>
      <c r="T46">
        <f t="shared" si="26"/>
        <v>0</v>
      </c>
      <c r="U46">
        <f t="shared" si="27"/>
        <v>335.29520519999994</v>
      </c>
      <c r="V46">
        <f t="shared" si="28"/>
        <v>2.5967399999999996</v>
      </c>
      <c r="W46">
        <f t="shared" si="29"/>
        <v>0</v>
      </c>
      <c r="X46">
        <f t="shared" si="30"/>
        <v>19969.18</v>
      </c>
      <c r="Y46">
        <f t="shared" si="31"/>
        <v>10172.98</v>
      </c>
      <c r="AA46">
        <v>39476960</v>
      </c>
      <c r="AB46">
        <f t="shared" si="32"/>
        <v>8355.82</v>
      </c>
      <c r="AC46">
        <f t="shared" si="54"/>
        <v>4100.43</v>
      </c>
      <c r="AD46">
        <f>ROUND((((((ET46*1.25)*1.2))-(((EU46*1.25)*1.2)))+AE46),2)</f>
        <v>285.25</v>
      </c>
      <c r="AE46">
        <f>ROUND((((EU46*1.25)*1.2)),2)</f>
        <v>41.9</v>
      </c>
      <c r="AF46">
        <f>ROUND((((EV46*1.15)*1.2)),2)</f>
        <v>3970.14</v>
      </c>
      <c r="AG46">
        <f t="shared" si="33"/>
        <v>0</v>
      </c>
      <c r="AH46">
        <f>(((EW46*1.15)*1.2))</f>
        <v>437.72219999999993</v>
      </c>
      <c r="AI46">
        <f>(((EX46*1.25)*1.2))</f>
        <v>3.3899999999999997</v>
      </c>
      <c r="AJ46">
        <f t="shared" si="34"/>
        <v>0</v>
      </c>
      <c r="AK46">
        <v>7167.5</v>
      </c>
      <c r="AL46">
        <v>4100.43</v>
      </c>
      <c r="AM46">
        <v>190.16</v>
      </c>
      <c r="AN46">
        <v>27.93</v>
      </c>
      <c r="AO46">
        <v>2876.91</v>
      </c>
      <c r="AP46">
        <v>0</v>
      </c>
      <c r="AQ46">
        <v>317.19</v>
      </c>
      <c r="AR46">
        <v>2.2599999999999998</v>
      </c>
      <c r="AS46">
        <v>0</v>
      </c>
      <c r="AT46">
        <v>106</v>
      </c>
      <c r="AU46">
        <v>54</v>
      </c>
      <c r="AV46">
        <v>1</v>
      </c>
      <c r="AW46">
        <v>1</v>
      </c>
      <c r="AZ46">
        <v>6.13</v>
      </c>
      <c r="BA46">
        <v>6.13</v>
      </c>
      <c r="BB46">
        <v>6.13</v>
      </c>
      <c r="BC46">
        <v>6.13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111</v>
      </c>
      <c r="BM46">
        <v>10001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6.13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118</v>
      </c>
      <c r="CA46">
        <v>63</v>
      </c>
      <c r="CF46">
        <v>0</v>
      </c>
      <c r="CG46">
        <v>0</v>
      </c>
      <c r="CM46">
        <v>0</v>
      </c>
      <c r="CN46" t="s">
        <v>1274</v>
      </c>
      <c r="CO46">
        <v>0</v>
      </c>
      <c r="CP46">
        <f t="shared" si="35"/>
        <v>39235.42</v>
      </c>
      <c r="CQ46">
        <f t="shared" si="36"/>
        <v>25135.635900000001</v>
      </c>
      <c r="CR46">
        <f t="shared" si="37"/>
        <v>1748.5825</v>
      </c>
      <c r="CS46">
        <f t="shared" si="38"/>
        <v>256.84699999999998</v>
      </c>
      <c r="CT46">
        <f t="shared" si="39"/>
        <v>24336.958199999997</v>
      </c>
      <c r="CU46">
        <f t="shared" si="40"/>
        <v>0</v>
      </c>
      <c r="CV46">
        <f t="shared" si="41"/>
        <v>437.72219999999993</v>
      </c>
      <c r="CW46">
        <f t="shared" si="42"/>
        <v>3.3899999999999997</v>
      </c>
      <c r="CX46">
        <f t="shared" si="43"/>
        <v>0</v>
      </c>
      <c r="CY46">
        <f t="shared" si="44"/>
        <v>19969.181000000004</v>
      </c>
      <c r="CZ46">
        <f t="shared" si="45"/>
        <v>10172.979000000001</v>
      </c>
      <c r="DC46" t="s">
        <v>3</v>
      </c>
      <c r="DD46" t="s">
        <v>3</v>
      </c>
      <c r="DE46" t="s">
        <v>53</v>
      </c>
      <c r="DF46" t="s">
        <v>53</v>
      </c>
      <c r="DG46" t="s">
        <v>54</v>
      </c>
      <c r="DH46" t="s">
        <v>3</v>
      </c>
      <c r="DI46" t="s">
        <v>54</v>
      </c>
      <c r="DJ46" t="s">
        <v>53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17</v>
      </c>
      <c r="DW46" t="s">
        <v>17</v>
      </c>
      <c r="DX46">
        <v>100</v>
      </c>
      <c r="EE46">
        <v>39174503</v>
      </c>
      <c r="EF46">
        <v>2</v>
      </c>
      <c r="EG46" t="s">
        <v>13</v>
      </c>
      <c r="EH46">
        <v>0</v>
      </c>
      <c r="EI46" t="s">
        <v>3</v>
      </c>
      <c r="EJ46">
        <v>1</v>
      </c>
      <c r="EK46">
        <v>10001</v>
      </c>
      <c r="EL46" t="s">
        <v>55</v>
      </c>
      <c r="EM46" t="s">
        <v>56</v>
      </c>
      <c r="EO46" t="s">
        <v>89</v>
      </c>
      <c r="EQ46">
        <v>0</v>
      </c>
      <c r="ER46">
        <v>7167.5</v>
      </c>
      <c r="ES46">
        <v>4100.43</v>
      </c>
      <c r="ET46">
        <v>190.16</v>
      </c>
      <c r="EU46">
        <v>27.93</v>
      </c>
      <c r="EV46">
        <v>2876.91</v>
      </c>
      <c r="EW46">
        <v>317.19</v>
      </c>
      <c r="EX46">
        <v>2.2599999999999998</v>
      </c>
      <c r="EY46">
        <v>0</v>
      </c>
      <c r="FQ46">
        <v>0</v>
      </c>
      <c r="FR46">
        <f t="shared" si="46"/>
        <v>0</v>
      </c>
      <c r="FS46">
        <v>0</v>
      </c>
      <c r="FT46" t="s">
        <v>29</v>
      </c>
      <c r="FU46" t="s">
        <v>30</v>
      </c>
      <c r="FX46">
        <v>106.2</v>
      </c>
      <c r="FY46">
        <v>53.55</v>
      </c>
      <c r="GA46" t="s">
        <v>3</v>
      </c>
      <c r="GD46">
        <v>0</v>
      </c>
      <c r="GF46">
        <v>2068741520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7"/>
        <v>0</v>
      </c>
      <c r="GM46">
        <f t="shared" si="48"/>
        <v>69377.58</v>
      </c>
      <c r="GN46">
        <f t="shared" si="49"/>
        <v>69377.58</v>
      </c>
      <c r="GO46">
        <f t="shared" si="50"/>
        <v>0</v>
      </c>
      <c r="GP46">
        <f t="shared" si="51"/>
        <v>0</v>
      </c>
      <c r="GR46">
        <v>0</v>
      </c>
      <c r="GS46">
        <v>3</v>
      </c>
      <c r="GT46">
        <v>0</v>
      </c>
      <c r="GU46" t="s">
        <v>3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89</v>
      </c>
      <c r="E47" t="s">
        <v>112</v>
      </c>
      <c r="F47" t="s">
        <v>113</v>
      </c>
      <c r="G47" t="s">
        <v>114</v>
      </c>
      <c r="H47" t="s">
        <v>61</v>
      </c>
      <c r="I47">
        <f>I46*J47</f>
        <v>321.72000000000003</v>
      </c>
      <c r="J47">
        <v>420</v>
      </c>
      <c r="O47">
        <f t="shared" si="21"/>
        <v>29187.73</v>
      </c>
      <c r="P47">
        <f t="shared" si="22"/>
        <v>29187.73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39476960</v>
      </c>
      <c r="AB47">
        <f t="shared" si="32"/>
        <v>14.8</v>
      </c>
      <c r="AC47">
        <f t="shared" si="54"/>
        <v>14.8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 t="shared" si="33"/>
        <v>0</v>
      </c>
      <c r="AH47">
        <f>(EW47)</f>
        <v>0</v>
      </c>
      <c r="AI47">
        <f>(EX47)</f>
        <v>0</v>
      </c>
      <c r="AJ47">
        <f t="shared" si="34"/>
        <v>0</v>
      </c>
      <c r="AK47">
        <v>14.8</v>
      </c>
      <c r="AL47">
        <v>14.8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6.13</v>
      </c>
      <c r="BA47">
        <v>1</v>
      </c>
      <c r="BB47">
        <v>1</v>
      </c>
      <c r="BC47">
        <v>6.13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115</v>
      </c>
      <c r="BM47">
        <v>10001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118</v>
      </c>
      <c r="CA47">
        <v>63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5"/>
        <v>29187.73</v>
      </c>
      <c r="CQ47">
        <f t="shared" si="36"/>
        <v>90.724000000000004</v>
      </c>
      <c r="CR47">
        <f t="shared" si="37"/>
        <v>0</v>
      </c>
      <c r="CS47">
        <f t="shared" si="38"/>
        <v>0</v>
      </c>
      <c r="CT47">
        <f t="shared" si="39"/>
        <v>0</v>
      </c>
      <c r="CU47">
        <f t="shared" si="40"/>
        <v>0</v>
      </c>
      <c r="CV47">
        <f t="shared" si="41"/>
        <v>0</v>
      </c>
      <c r="CW47">
        <f t="shared" si="42"/>
        <v>0</v>
      </c>
      <c r="CX47">
        <f t="shared" si="43"/>
        <v>0</v>
      </c>
      <c r="CY47">
        <f t="shared" si="44"/>
        <v>0</v>
      </c>
      <c r="CZ47">
        <f t="shared" si="45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61</v>
      </c>
      <c r="DW47" t="s">
        <v>61</v>
      </c>
      <c r="DX47">
        <v>1</v>
      </c>
      <c r="EE47">
        <v>39174503</v>
      </c>
      <c r="EF47">
        <v>2</v>
      </c>
      <c r="EG47" t="s">
        <v>13</v>
      </c>
      <c r="EH47">
        <v>0</v>
      </c>
      <c r="EI47" t="s">
        <v>3</v>
      </c>
      <c r="EJ47">
        <v>1</v>
      </c>
      <c r="EK47">
        <v>10001</v>
      </c>
      <c r="EL47" t="s">
        <v>55</v>
      </c>
      <c r="EM47" t="s">
        <v>56</v>
      </c>
      <c r="EO47" t="s">
        <v>3</v>
      </c>
      <c r="EQ47">
        <v>0</v>
      </c>
      <c r="ER47">
        <v>14.8</v>
      </c>
      <c r="ES47">
        <v>14.8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6"/>
        <v>0</v>
      </c>
      <c r="FS47">
        <v>0</v>
      </c>
      <c r="FT47" t="s">
        <v>29</v>
      </c>
      <c r="FU47" t="s">
        <v>30</v>
      </c>
      <c r="FX47">
        <v>106.2</v>
      </c>
      <c r="FY47">
        <v>53.55</v>
      </c>
      <c r="GA47" t="s">
        <v>3</v>
      </c>
      <c r="GD47">
        <v>0</v>
      </c>
      <c r="GF47">
        <v>-649753887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7"/>
        <v>0</v>
      </c>
      <c r="GM47">
        <f t="shared" si="48"/>
        <v>29187.73</v>
      </c>
      <c r="GN47">
        <f t="shared" si="49"/>
        <v>29187.73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3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88</v>
      </c>
      <c r="E48" t="s">
        <v>116</v>
      </c>
      <c r="F48" t="s">
        <v>117</v>
      </c>
      <c r="G48" t="s">
        <v>118</v>
      </c>
      <c r="H48" t="s">
        <v>61</v>
      </c>
      <c r="I48">
        <f>I46*J48</f>
        <v>321.72000000000003</v>
      </c>
      <c r="J48">
        <v>420</v>
      </c>
      <c r="O48">
        <f t="shared" si="21"/>
        <v>0</v>
      </c>
      <c r="P48">
        <f t="shared" si="22"/>
        <v>0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39476960</v>
      </c>
      <c r="AB48">
        <f t="shared" si="32"/>
        <v>0</v>
      </c>
      <c r="AC48">
        <f t="shared" si="54"/>
        <v>0</v>
      </c>
      <c r="AD48">
        <f>ROUND((((ET48)-(EU48))+AE48),2)</f>
        <v>0</v>
      </c>
      <c r="AE48">
        <f>ROUND((EU48),2)</f>
        <v>0</v>
      </c>
      <c r="AF48">
        <f>ROUND((EV48),2)</f>
        <v>0</v>
      </c>
      <c r="AG48">
        <f t="shared" si="33"/>
        <v>0</v>
      </c>
      <c r="AH48">
        <f>(EW48)</f>
        <v>0</v>
      </c>
      <c r="AI48">
        <f>(EX48)</f>
        <v>0</v>
      </c>
      <c r="AJ48">
        <f t="shared" si="34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106</v>
      </c>
      <c r="AU48">
        <v>54</v>
      </c>
      <c r="AV48">
        <v>1</v>
      </c>
      <c r="AW48">
        <v>1</v>
      </c>
      <c r="AZ48">
        <v>6.13</v>
      </c>
      <c r="BA48">
        <v>1</v>
      </c>
      <c r="BB48">
        <v>1</v>
      </c>
      <c r="BC48">
        <v>6.13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10001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118</v>
      </c>
      <c r="CA48">
        <v>63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5"/>
        <v>0</v>
      </c>
      <c r="CQ48">
        <f t="shared" si="36"/>
        <v>0</v>
      </c>
      <c r="CR48">
        <f t="shared" si="37"/>
        <v>0</v>
      </c>
      <c r="CS48">
        <f t="shared" si="38"/>
        <v>0</v>
      </c>
      <c r="CT48">
        <f t="shared" si="39"/>
        <v>0</v>
      </c>
      <c r="CU48">
        <f t="shared" si="40"/>
        <v>0</v>
      </c>
      <c r="CV48">
        <f t="shared" si="41"/>
        <v>0</v>
      </c>
      <c r="CW48">
        <f t="shared" si="42"/>
        <v>0</v>
      </c>
      <c r="CX48">
        <f t="shared" si="43"/>
        <v>0</v>
      </c>
      <c r="CY48">
        <f t="shared" si="44"/>
        <v>0</v>
      </c>
      <c r="CZ48">
        <f t="shared" si="45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61</v>
      </c>
      <c r="DW48" t="s">
        <v>61</v>
      </c>
      <c r="DX48">
        <v>1</v>
      </c>
      <c r="EE48">
        <v>39174503</v>
      </c>
      <c r="EF48">
        <v>2</v>
      </c>
      <c r="EG48" t="s">
        <v>13</v>
      </c>
      <c r="EH48">
        <v>0</v>
      </c>
      <c r="EI48" t="s">
        <v>3</v>
      </c>
      <c r="EJ48">
        <v>1</v>
      </c>
      <c r="EK48">
        <v>10001</v>
      </c>
      <c r="EL48" t="s">
        <v>55</v>
      </c>
      <c r="EM48" t="s">
        <v>56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46"/>
        <v>0</v>
      </c>
      <c r="FS48">
        <v>0</v>
      </c>
      <c r="FT48" t="s">
        <v>29</v>
      </c>
      <c r="FU48" t="s">
        <v>30</v>
      </c>
      <c r="FX48">
        <v>106.2</v>
      </c>
      <c r="FY48">
        <v>53.55</v>
      </c>
      <c r="GA48" t="s">
        <v>3</v>
      </c>
      <c r="GD48">
        <v>0</v>
      </c>
      <c r="GF48">
        <v>-354280000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7"/>
        <v>0</v>
      </c>
      <c r="GM48">
        <f t="shared" si="48"/>
        <v>0</v>
      </c>
      <c r="GN48">
        <f t="shared" si="49"/>
        <v>0</v>
      </c>
      <c r="GO48">
        <f t="shared" si="50"/>
        <v>0</v>
      </c>
      <c r="GP48">
        <f t="shared" si="51"/>
        <v>0</v>
      </c>
      <c r="GR48">
        <v>0</v>
      </c>
      <c r="GS48">
        <v>3</v>
      </c>
      <c r="GT48">
        <v>0</v>
      </c>
      <c r="GU48" t="s">
        <v>3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ROW(SmtRes!A112)</f>
        <v>112</v>
      </c>
      <c r="D49">
        <f>ROW(EtalonRes!A108)</f>
        <v>108</v>
      </c>
      <c r="E49" t="s">
        <v>119</v>
      </c>
      <c r="F49" t="s">
        <v>120</v>
      </c>
      <c r="G49" t="s">
        <v>121</v>
      </c>
      <c r="H49" t="s">
        <v>17</v>
      </c>
      <c r="I49">
        <f>ROUND(70/100,9)</f>
        <v>0.7</v>
      </c>
      <c r="J49">
        <v>0</v>
      </c>
      <c r="O49">
        <f t="shared" si="21"/>
        <v>15879.45</v>
      </c>
      <c r="P49">
        <f t="shared" si="22"/>
        <v>3293.39</v>
      </c>
      <c r="Q49">
        <f t="shared" si="23"/>
        <v>191.94</v>
      </c>
      <c r="R49">
        <f t="shared" si="24"/>
        <v>73.63</v>
      </c>
      <c r="S49">
        <f t="shared" si="25"/>
        <v>12394.12</v>
      </c>
      <c r="T49">
        <f t="shared" si="26"/>
        <v>0</v>
      </c>
      <c r="U49">
        <f t="shared" si="27"/>
        <v>220.24799999999999</v>
      </c>
      <c r="V49">
        <f t="shared" si="28"/>
        <v>0.9029999999999998</v>
      </c>
      <c r="W49">
        <f t="shared" si="29"/>
        <v>0</v>
      </c>
      <c r="X49">
        <f t="shared" si="30"/>
        <v>11844.36</v>
      </c>
      <c r="Y49">
        <f t="shared" si="31"/>
        <v>5859.84</v>
      </c>
      <c r="AA49">
        <v>39476960</v>
      </c>
      <c r="AB49">
        <f t="shared" si="32"/>
        <v>3700.64</v>
      </c>
      <c r="AC49">
        <f t="shared" si="54"/>
        <v>767.51</v>
      </c>
      <c r="AD49">
        <f>ROUND((((((ET49*1.25)*1.2))-(((EU49*1.25)*1.2)))+AE49),2)</f>
        <v>44.73</v>
      </c>
      <c r="AE49">
        <f>ROUND((((EU49*1.25)*1.2)),2)</f>
        <v>17.16</v>
      </c>
      <c r="AF49">
        <f>ROUND((((EV49*1.15)*1.2)),2)</f>
        <v>2888.4</v>
      </c>
      <c r="AG49">
        <f t="shared" si="33"/>
        <v>0</v>
      </c>
      <c r="AH49">
        <f>(((EW49*1.15)*1.2))</f>
        <v>314.64</v>
      </c>
      <c r="AI49">
        <f>(((EX49*1.25)*1.2))</f>
        <v>1.2899999999999998</v>
      </c>
      <c r="AJ49">
        <f t="shared" si="34"/>
        <v>0</v>
      </c>
      <c r="AK49">
        <v>2890.37</v>
      </c>
      <c r="AL49">
        <v>767.51</v>
      </c>
      <c r="AM49">
        <v>29.82</v>
      </c>
      <c r="AN49">
        <v>11.44</v>
      </c>
      <c r="AO49">
        <v>2093.04</v>
      </c>
      <c r="AP49">
        <v>0</v>
      </c>
      <c r="AQ49">
        <v>228</v>
      </c>
      <c r="AR49">
        <v>0.86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6.13</v>
      </c>
      <c r="BA49">
        <v>6.13</v>
      </c>
      <c r="BB49">
        <v>6.13</v>
      </c>
      <c r="BC49">
        <v>6.13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122</v>
      </c>
      <c r="BM49">
        <v>15001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6.13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105</v>
      </c>
      <c r="CA49">
        <v>55</v>
      </c>
      <c r="CF49">
        <v>0</v>
      </c>
      <c r="CG49">
        <v>0</v>
      </c>
      <c r="CM49">
        <v>0</v>
      </c>
      <c r="CN49" t="s">
        <v>1274</v>
      </c>
      <c r="CO49">
        <v>0</v>
      </c>
      <c r="CP49">
        <f t="shared" si="35"/>
        <v>15879.45</v>
      </c>
      <c r="CQ49">
        <f t="shared" si="36"/>
        <v>4704.8362999999999</v>
      </c>
      <c r="CR49">
        <f t="shared" si="37"/>
        <v>274.19489999999996</v>
      </c>
      <c r="CS49">
        <f t="shared" si="38"/>
        <v>105.1908</v>
      </c>
      <c r="CT49">
        <f t="shared" si="39"/>
        <v>17705.892</v>
      </c>
      <c r="CU49">
        <f t="shared" si="40"/>
        <v>0</v>
      </c>
      <c r="CV49">
        <f t="shared" si="41"/>
        <v>314.64</v>
      </c>
      <c r="CW49">
        <f t="shared" si="42"/>
        <v>1.2899999999999998</v>
      </c>
      <c r="CX49">
        <f t="shared" si="43"/>
        <v>0</v>
      </c>
      <c r="CY49">
        <f t="shared" si="44"/>
        <v>11844.362499999999</v>
      </c>
      <c r="CZ49">
        <f t="shared" si="45"/>
        <v>5859.8424999999997</v>
      </c>
      <c r="DC49" t="s">
        <v>3</v>
      </c>
      <c r="DD49" t="s">
        <v>3</v>
      </c>
      <c r="DE49" t="s">
        <v>53</v>
      </c>
      <c r="DF49" t="s">
        <v>53</v>
      </c>
      <c r="DG49" t="s">
        <v>54</v>
      </c>
      <c r="DH49" t="s">
        <v>3</v>
      </c>
      <c r="DI49" t="s">
        <v>54</v>
      </c>
      <c r="DJ49" t="s">
        <v>53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17</v>
      </c>
      <c r="DW49" t="s">
        <v>17</v>
      </c>
      <c r="DX49">
        <v>100</v>
      </c>
      <c r="EE49">
        <v>39174529</v>
      </c>
      <c r="EF49">
        <v>2</v>
      </c>
      <c r="EG49" t="s">
        <v>13</v>
      </c>
      <c r="EH49">
        <v>0</v>
      </c>
      <c r="EI49" t="s">
        <v>3</v>
      </c>
      <c r="EJ49">
        <v>1</v>
      </c>
      <c r="EK49">
        <v>15001</v>
      </c>
      <c r="EL49" t="s">
        <v>123</v>
      </c>
      <c r="EM49" t="s">
        <v>124</v>
      </c>
      <c r="EO49" t="s">
        <v>89</v>
      </c>
      <c r="EQ49">
        <v>0</v>
      </c>
      <c r="ER49">
        <v>2890.37</v>
      </c>
      <c r="ES49">
        <v>767.51</v>
      </c>
      <c r="ET49">
        <v>29.82</v>
      </c>
      <c r="EU49">
        <v>11.44</v>
      </c>
      <c r="EV49">
        <v>2093.04</v>
      </c>
      <c r="EW49">
        <v>228</v>
      </c>
      <c r="EX49">
        <v>0.86</v>
      </c>
      <c r="EY49">
        <v>0</v>
      </c>
      <c r="FQ49">
        <v>0</v>
      </c>
      <c r="FR49">
        <f t="shared" si="46"/>
        <v>0</v>
      </c>
      <c r="FS49">
        <v>0</v>
      </c>
      <c r="FT49" t="s">
        <v>29</v>
      </c>
      <c r="FU49" t="s">
        <v>30</v>
      </c>
      <c r="FX49">
        <v>94.5</v>
      </c>
      <c r="FY49">
        <v>46.75</v>
      </c>
      <c r="GA49" t="s">
        <v>3</v>
      </c>
      <c r="GD49">
        <v>0</v>
      </c>
      <c r="GF49">
        <v>-1551800524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7"/>
        <v>0</v>
      </c>
      <c r="GM49">
        <f t="shared" si="48"/>
        <v>33583.65</v>
      </c>
      <c r="GN49">
        <f t="shared" si="49"/>
        <v>33583.65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3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111</v>
      </c>
      <c r="E50" t="s">
        <v>125</v>
      </c>
      <c r="F50" t="s">
        <v>126</v>
      </c>
      <c r="G50" t="s">
        <v>127</v>
      </c>
      <c r="H50" t="s">
        <v>61</v>
      </c>
      <c r="I50">
        <f>I49*J50</f>
        <v>70</v>
      </c>
      <c r="J50">
        <v>100</v>
      </c>
      <c r="O50">
        <f t="shared" si="21"/>
        <v>31337.17</v>
      </c>
      <c r="P50">
        <f t="shared" si="22"/>
        <v>31337.17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39476960</v>
      </c>
      <c r="AB50">
        <f t="shared" si="32"/>
        <v>73.03</v>
      </c>
      <c r="AC50">
        <f t="shared" si="54"/>
        <v>73.03</v>
      </c>
      <c r="AD50">
        <f>ROUND((((ET50)-(EU50))+AE50),2)</f>
        <v>0</v>
      </c>
      <c r="AE50">
        <f>ROUND((EU50),2)</f>
        <v>0</v>
      </c>
      <c r="AF50">
        <f>ROUND((EV50),2)</f>
        <v>0</v>
      </c>
      <c r="AG50">
        <f t="shared" si="33"/>
        <v>0</v>
      </c>
      <c r="AH50">
        <f>(EW50)</f>
        <v>0</v>
      </c>
      <c r="AI50">
        <f>(EX50)</f>
        <v>0</v>
      </c>
      <c r="AJ50">
        <f t="shared" si="34"/>
        <v>0</v>
      </c>
      <c r="AK50">
        <v>73.03</v>
      </c>
      <c r="AL50">
        <v>73.03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6.13</v>
      </c>
      <c r="BA50">
        <v>1</v>
      </c>
      <c r="BB50">
        <v>1</v>
      </c>
      <c r="BC50">
        <v>6.13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128</v>
      </c>
      <c r="BM50">
        <v>15001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5"/>
        <v>31337.17</v>
      </c>
      <c r="CQ50">
        <f t="shared" si="36"/>
        <v>447.6739</v>
      </c>
      <c r="CR50">
        <f t="shared" si="37"/>
        <v>0</v>
      </c>
      <c r="CS50">
        <f t="shared" si="38"/>
        <v>0</v>
      </c>
      <c r="CT50">
        <f t="shared" si="39"/>
        <v>0</v>
      </c>
      <c r="CU50">
        <f t="shared" si="40"/>
        <v>0</v>
      </c>
      <c r="CV50">
        <f t="shared" si="41"/>
        <v>0</v>
      </c>
      <c r="CW50">
        <f t="shared" si="42"/>
        <v>0</v>
      </c>
      <c r="CX50">
        <f t="shared" si="43"/>
        <v>0</v>
      </c>
      <c r="CY50">
        <f t="shared" si="44"/>
        <v>0</v>
      </c>
      <c r="CZ50">
        <f t="shared" si="45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1005</v>
      </c>
      <c r="DV50" t="s">
        <v>61</v>
      </c>
      <c r="DW50" t="s">
        <v>61</v>
      </c>
      <c r="DX50">
        <v>1</v>
      </c>
      <c r="EE50">
        <v>39174529</v>
      </c>
      <c r="EF50">
        <v>2</v>
      </c>
      <c r="EG50" t="s">
        <v>13</v>
      </c>
      <c r="EH50">
        <v>0</v>
      </c>
      <c r="EI50" t="s">
        <v>3</v>
      </c>
      <c r="EJ50">
        <v>1</v>
      </c>
      <c r="EK50">
        <v>15001</v>
      </c>
      <c r="EL50" t="s">
        <v>123</v>
      </c>
      <c r="EM50" t="s">
        <v>124</v>
      </c>
      <c r="EO50" t="s">
        <v>3</v>
      </c>
      <c r="EQ50">
        <v>0</v>
      </c>
      <c r="ER50">
        <v>73.03</v>
      </c>
      <c r="ES50">
        <v>73.03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46"/>
        <v>0</v>
      </c>
      <c r="FS50">
        <v>0</v>
      </c>
      <c r="FT50" t="s">
        <v>29</v>
      </c>
      <c r="FU50" t="s">
        <v>30</v>
      </c>
      <c r="FX50">
        <v>94.5</v>
      </c>
      <c r="FY50">
        <v>46.75</v>
      </c>
      <c r="GA50" t="s">
        <v>3</v>
      </c>
      <c r="GD50">
        <v>0</v>
      </c>
      <c r="GF50">
        <v>1756433077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7"/>
        <v>0</v>
      </c>
      <c r="GM50">
        <f t="shared" si="48"/>
        <v>31337.17</v>
      </c>
      <c r="GN50">
        <f t="shared" si="49"/>
        <v>31337.17</v>
      </c>
      <c r="GO50">
        <f t="shared" si="50"/>
        <v>0</v>
      </c>
      <c r="GP50">
        <f t="shared" si="51"/>
        <v>0</v>
      </c>
      <c r="GR50">
        <v>0</v>
      </c>
      <c r="GS50">
        <v>3</v>
      </c>
      <c r="GT50">
        <v>0</v>
      </c>
      <c r="GU50" t="s">
        <v>3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112</v>
      </c>
      <c r="E51" t="s">
        <v>129</v>
      </c>
      <c r="F51" t="s">
        <v>130</v>
      </c>
      <c r="G51" t="s">
        <v>131</v>
      </c>
      <c r="H51" t="s">
        <v>61</v>
      </c>
      <c r="I51">
        <f>I49*J51</f>
        <v>70</v>
      </c>
      <c r="J51">
        <v>100</v>
      </c>
      <c r="O51">
        <f t="shared" si="21"/>
        <v>0</v>
      </c>
      <c r="P51">
        <f t="shared" si="22"/>
        <v>0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39476960</v>
      </c>
      <c r="AB51">
        <f t="shared" si="32"/>
        <v>0</v>
      </c>
      <c r="AC51">
        <f t="shared" si="54"/>
        <v>0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33"/>
        <v>0</v>
      </c>
      <c r="AH51">
        <f>(EW51)</f>
        <v>0</v>
      </c>
      <c r="AI51">
        <f>(EX51)</f>
        <v>0</v>
      </c>
      <c r="AJ51">
        <f t="shared" si="34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6.13</v>
      </c>
      <c r="BA51">
        <v>1</v>
      </c>
      <c r="BB51">
        <v>1</v>
      </c>
      <c r="BC51">
        <v>6.13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15001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105</v>
      </c>
      <c r="CA51">
        <v>55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5"/>
        <v>0</v>
      </c>
      <c r="CQ51">
        <f t="shared" si="36"/>
        <v>0</v>
      </c>
      <c r="CR51">
        <f t="shared" si="37"/>
        <v>0</v>
      </c>
      <c r="CS51">
        <f t="shared" si="38"/>
        <v>0</v>
      </c>
      <c r="CT51">
        <f t="shared" si="39"/>
        <v>0</v>
      </c>
      <c r="CU51">
        <f t="shared" si="40"/>
        <v>0</v>
      </c>
      <c r="CV51">
        <f t="shared" si="41"/>
        <v>0</v>
      </c>
      <c r="CW51">
        <f t="shared" si="42"/>
        <v>0</v>
      </c>
      <c r="CX51">
        <f t="shared" si="43"/>
        <v>0</v>
      </c>
      <c r="CY51">
        <f t="shared" si="44"/>
        <v>0</v>
      </c>
      <c r="CZ51">
        <f t="shared" si="45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61</v>
      </c>
      <c r="DW51" t="s">
        <v>61</v>
      </c>
      <c r="DX51">
        <v>1</v>
      </c>
      <c r="EE51">
        <v>39174529</v>
      </c>
      <c r="EF51">
        <v>2</v>
      </c>
      <c r="EG51" t="s">
        <v>13</v>
      </c>
      <c r="EH51">
        <v>0</v>
      </c>
      <c r="EI51" t="s">
        <v>3</v>
      </c>
      <c r="EJ51">
        <v>1</v>
      </c>
      <c r="EK51">
        <v>15001</v>
      </c>
      <c r="EL51" t="s">
        <v>123</v>
      </c>
      <c r="EM51" t="s">
        <v>124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6"/>
        <v>0</v>
      </c>
      <c r="FS51">
        <v>0</v>
      </c>
      <c r="FT51" t="s">
        <v>29</v>
      </c>
      <c r="FU51" t="s">
        <v>30</v>
      </c>
      <c r="FX51">
        <v>94.5</v>
      </c>
      <c r="FY51">
        <v>46.75</v>
      </c>
      <c r="GA51" t="s">
        <v>3</v>
      </c>
      <c r="GD51">
        <v>0</v>
      </c>
      <c r="GF51">
        <v>1109111119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7"/>
        <v>0</v>
      </c>
      <c r="GM51">
        <f t="shared" si="48"/>
        <v>0</v>
      </c>
      <c r="GN51">
        <f t="shared" si="49"/>
        <v>0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3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ROW(SmtRes!A126)</f>
        <v>126</v>
      </c>
      <c r="D52">
        <f>ROW(EtalonRes!A121)</f>
        <v>121</v>
      </c>
      <c r="E52" t="s">
        <v>132</v>
      </c>
      <c r="F52" t="s">
        <v>133</v>
      </c>
      <c r="G52" t="s">
        <v>134</v>
      </c>
      <c r="H52" t="s">
        <v>17</v>
      </c>
      <c r="I52">
        <f>ROUND(12.5/100,9)</f>
        <v>0.125</v>
      </c>
      <c r="J52">
        <v>0</v>
      </c>
      <c r="O52">
        <f t="shared" si="21"/>
        <v>1860.31</v>
      </c>
      <c r="P52">
        <f t="shared" si="22"/>
        <v>955.2</v>
      </c>
      <c r="Q52">
        <f t="shared" si="23"/>
        <v>354.77</v>
      </c>
      <c r="R52">
        <f t="shared" si="24"/>
        <v>13.92</v>
      </c>
      <c r="S52">
        <f t="shared" si="25"/>
        <v>550.34</v>
      </c>
      <c r="T52">
        <f t="shared" si="26"/>
        <v>0</v>
      </c>
      <c r="U52">
        <f t="shared" si="27"/>
        <v>7.9660499999999983</v>
      </c>
      <c r="V52">
        <f t="shared" si="28"/>
        <v>0.18375</v>
      </c>
      <c r="W52">
        <f t="shared" si="29"/>
        <v>0</v>
      </c>
      <c r="X52">
        <f t="shared" si="30"/>
        <v>626.33000000000004</v>
      </c>
      <c r="Y52">
        <f t="shared" si="31"/>
        <v>361.13</v>
      </c>
      <c r="AA52">
        <v>39476960</v>
      </c>
      <c r="AB52">
        <f t="shared" si="32"/>
        <v>2427.81</v>
      </c>
      <c r="AC52">
        <f t="shared" si="54"/>
        <v>1246.5899999999999</v>
      </c>
      <c r="AD52">
        <f>ROUND((((((ET52*1.25)*1.2))-(((EU52*1.25)*1.2)))+AE52),2)</f>
        <v>463</v>
      </c>
      <c r="AE52">
        <f>ROUND((((EU52*1.25)*1.2)),2)</f>
        <v>18.170000000000002</v>
      </c>
      <c r="AF52">
        <f>ROUND((((EV52*1.15)*1.2)),2)</f>
        <v>718.22</v>
      </c>
      <c r="AG52">
        <f t="shared" si="33"/>
        <v>0</v>
      </c>
      <c r="AH52">
        <f>(((EW52*1.15)*1.2))</f>
        <v>63.728399999999986</v>
      </c>
      <c r="AI52">
        <f>(((EX52*1.25)*1.2))</f>
        <v>1.47</v>
      </c>
      <c r="AJ52">
        <f t="shared" si="34"/>
        <v>0</v>
      </c>
      <c r="AK52">
        <v>2075.6999999999998</v>
      </c>
      <c r="AL52">
        <v>1246.5899999999999</v>
      </c>
      <c r="AM52">
        <v>308.66000000000003</v>
      </c>
      <c r="AN52">
        <v>12.11</v>
      </c>
      <c r="AO52">
        <v>520.45000000000005</v>
      </c>
      <c r="AP52">
        <v>0</v>
      </c>
      <c r="AQ52">
        <v>46.18</v>
      </c>
      <c r="AR52">
        <v>0.98</v>
      </c>
      <c r="AS52">
        <v>0</v>
      </c>
      <c r="AT52">
        <v>111</v>
      </c>
      <c r="AU52">
        <v>64</v>
      </c>
      <c r="AV52">
        <v>1</v>
      </c>
      <c r="AW52">
        <v>1</v>
      </c>
      <c r="AZ52">
        <v>6.13</v>
      </c>
      <c r="BA52">
        <v>6.13</v>
      </c>
      <c r="BB52">
        <v>6.13</v>
      </c>
      <c r="BC52">
        <v>6.13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135</v>
      </c>
      <c r="BM52">
        <v>11001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6.13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123</v>
      </c>
      <c r="CA52">
        <v>75</v>
      </c>
      <c r="CF52">
        <v>0</v>
      </c>
      <c r="CG52">
        <v>0</v>
      </c>
      <c r="CM52">
        <v>0</v>
      </c>
      <c r="CN52" t="s">
        <v>1274</v>
      </c>
      <c r="CO52">
        <v>0</v>
      </c>
      <c r="CP52">
        <f t="shared" si="35"/>
        <v>1860.31</v>
      </c>
      <c r="CQ52">
        <f t="shared" si="36"/>
        <v>7641.5966999999991</v>
      </c>
      <c r="CR52">
        <f t="shared" si="37"/>
        <v>2838.19</v>
      </c>
      <c r="CS52">
        <f t="shared" si="38"/>
        <v>111.38210000000001</v>
      </c>
      <c r="CT52">
        <f t="shared" si="39"/>
        <v>4402.6886000000004</v>
      </c>
      <c r="CU52">
        <f t="shared" si="40"/>
        <v>0</v>
      </c>
      <c r="CV52">
        <f t="shared" si="41"/>
        <v>63.728399999999986</v>
      </c>
      <c r="CW52">
        <f t="shared" si="42"/>
        <v>1.47</v>
      </c>
      <c r="CX52">
        <f t="shared" si="43"/>
        <v>0</v>
      </c>
      <c r="CY52">
        <f t="shared" si="44"/>
        <v>626.32860000000005</v>
      </c>
      <c r="CZ52">
        <f t="shared" si="45"/>
        <v>361.12639999999999</v>
      </c>
      <c r="DC52" t="s">
        <v>3</v>
      </c>
      <c r="DD52" t="s">
        <v>3</v>
      </c>
      <c r="DE52" t="s">
        <v>53</v>
      </c>
      <c r="DF52" t="s">
        <v>53</v>
      </c>
      <c r="DG52" t="s">
        <v>54</v>
      </c>
      <c r="DH52" t="s">
        <v>3</v>
      </c>
      <c r="DI52" t="s">
        <v>54</v>
      </c>
      <c r="DJ52" t="s">
        <v>53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17</v>
      </c>
      <c r="DW52" t="s">
        <v>17</v>
      </c>
      <c r="DX52">
        <v>100</v>
      </c>
      <c r="EE52">
        <v>39174504</v>
      </c>
      <c r="EF52">
        <v>2</v>
      </c>
      <c r="EG52" t="s">
        <v>13</v>
      </c>
      <c r="EH52">
        <v>0</v>
      </c>
      <c r="EI52" t="s">
        <v>3</v>
      </c>
      <c r="EJ52">
        <v>1</v>
      </c>
      <c r="EK52">
        <v>11001</v>
      </c>
      <c r="EL52" t="s">
        <v>136</v>
      </c>
      <c r="EM52" t="s">
        <v>137</v>
      </c>
      <c r="EO52" t="s">
        <v>89</v>
      </c>
      <c r="EQ52">
        <v>0</v>
      </c>
      <c r="ER52">
        <v>2075.6999999999998</v>
      </c>
      <c r="ES52">
        <v>1246.5899999999999</v>
      </c>
      <c r="ET52">
        <v>308.66000000000003</v>
      </c>
      <c r="EU52">
        <v>12.11</v>
      </c>
      <c r="EV52">
        <v>520.45000000000005</v>
      </c>
      <c r="EW52">
        <v>46.18</v>
      </c>
      <c r="EX52">
        <v>0.98</v>
      </c>
      <c r="EY52">
        <v>0</v>
      </c>
      <c r="FQ52">
        <v>0</v>
      </c>
      <c r="FR52">
        <f t="shared" si="46"/>
        <v>0</v>
      </c>
      <c r="FS52">
        <v>0</v>
      </c>
      <c r="FT52" t="s">
        <v>29</v>
      </c>
      <c r="FU52" t="s">
        <v>30</v>
      </c>
      <c r="FX52">
        <v>110.7</v>
      </c>
      <c r="FY52">
        <v>63.75</v>
      </c>
      <c r="GA52" t="s">
        <v>3</v>
      </c>
      <c r="GD52">
        <v>0</v>
      </c>
      <c r="GF52">
        <v>-241333989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7"/>
        <v>0</v>
      </c>
      <c r="GM52">
        <f t="shared" si="48"/>
        <v>2847.77</v>
      </c>
      <c r="GN52">
        <f t="shared" si="49"/>
        <v>2847.77</v>
      </c>
      <c r="GO52">
        <f t="shared" si="50"/>
        <v>0</v>
      </c>
      <c r="GP52">
        <f t="shared" si="51"/>
        <v>0</v>
      </c>
      <c r="GR52">
        <v>0</v>
      </c>
      <c r="GS52">
        <v>3</v>
      </c>
      <c r="GT52">
        <v>0</v>
      </c>
      <c r="GU52" t="s">
        <v>3</v>
      </c>
      <c r="GV52">
        <f t="shared" si="52"/>
        <v>0</v>
      </c>
      <c r="GW52">
        <v>1</v>
      </c>
      <c r="GX52">
        <f t="shared" si="53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126</v>
      </c>
      <c r="E53" t="s">
        <v>138</v>
      </c>
      <c r="F53" t="s">
        <v>139</v>
      </c>
      <c r="G53" t="s">
        <v>140</v>
      </c>
      <c r="H53" t="s">
        <v>61</v>
      </c>
      <c r="I53">
        <f>I52*J53</f>
        <v>14.5</v>
      </c>
      <c r="J53">
        <v>116</v>
      </c>
      <c r="O53">
        <f t="shared" si="21"/>
        <v>4941.12</v>
      </c>
      <c r="P53">
        <f t="shared" si="22"/>
        <v>4941.12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39476960</v>
      </c>
      <c r="AB53">
        <f t="shared" si="32"/>
        <v>55.59</v>
      </c>
      <c r="AC53">
        <f t="shared" si="54"/>
        <v>55.59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 t="shared" si="33"/>
        <v>0</v>
      </c>
      <c r="AH53">
        <f>(EW53)</f>
        <v>0</v>
      </c>
      <c r="AI53">
        <f>(EX53)</f>
        <v>0</v>
      </c>
      <c r="AJ53">
        <f t="shared" si="34"/>
        <v>0</v>
      </c>
      <c r="AK53">
        <v>55.59</v>
      </c>
      <c r="AL53">
        <v>55.59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6.13</v>
      </c>
      <c r="BA53">
        <v>1</v>
      </c>
      <c r="BB53">
        <v>1</v>
      </c>
      <c r="BC53">
        <v>6.13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141</v>
      </c>
      <c r="BM53">
        <v>11001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123</v>
      </c>
      <c r="CA53">
        <v>75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5"/>
        <v>4941.12</v>
      </c>
      <c r="CQ53">
        <f t="shared" si="36"/>
        <v>340.76670000000001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61</v>
      </c>
      <c r="DW53" t="s">
        <v>61</v>
      </c>
      <c r="DX53">
        <v>1</v>
      </c>
      <c r="EE53">
        <v>39174504</v>
      </c>
      <c r="EF53">
        <v>2</v>
      </c>
      <c r="EG53" t="s">
        <v>13</v>
      </c>
      <c r="EH53">
        <v>0</v>
      </c>
      <c r="EI53" t="s">
        <v>3</v>
      </c>
      <c r="EJ53">
        <v>1</v>
      </c>
      <c r="EK53">
        <v>11001</v>
      </c>
      <c r="EL53" t="s">
        <v>136</v>
      </c>
      <c r="EM53" t="s">
        <v>137</v>
      </c>
      <c r="EO53" t="s">
        <v>3</v>
      </c>
      <c r="EQ53">
        <v>0</v>
      </c>
      <c r="ER53">
        <v>55.59</v>
      </c>
      <c r="ES53">
        <v>55.59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T53" t="s">
        <v>29</v>
      </c>
      <c r="FU53" t="s">
        <v>30</v>
      </c>
      <c r="FX53">
        <v>110.7</v>
      </c>
      <c r="FY53">
        <v>63.75</v>
      </c>
      <c r="GA53" t="s">
        <v>3</v>
      </c>
      <c r="GD53">
        <v>0</v>
      </c>
      <c r="GF53">
        <v>-1969206199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7"/>
        <v>0</v>
      </c>
      <c r="GM53">
        <f t="shared" si="48"/>
        <v>4941.12</v>
      </c>
      <c r="GN53">
        <f t="shared" si="49"/>
        <v>4941.12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3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125</v>
      </c>
      <c r="E54" t="s">
        <v>142</v>
      </c>
      <c r="F54" t="s">
        <v>143</v>
      </c>
      <c r="G54" t="s">
        <v>144</v>
      </c>
      <c r="H54" t="s">
        <v>61</v>
      </c>
      <c r="I54">
        <f>I52*J54</f>
        <v>14.5</v>
      </c>
      <c r="J54">
        <v>116</v>
      </c>
      <c r="O54">
        <f t="shared" si="21"/>
        <v>0</v>
      </c>
      <c r="P54">
        <f t="shared" si="22"/>
        <v>0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39476960</v>
      </c>
      <c r="AB54">
        <f t="shared" si="32"/>
        <v>0</v>
      </c>
      <c r="AC54">
        <f t="shared" si="54"/>
        <v>0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 t="shared" si="33"/>
        <v>0</v>
      </c>
      <c r="AH54">
        <f>(EW54)</f>
        <v>0</v>
      </c>
      <c r="AI54">
        <f>(EX54)</f>
        <v>0</v>
      </c>
      <c r="AJ54">
        <f t="shared" si="34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6.13</v>
      </c>
      <c r="BA54">
        <v>1</v>
      </c>
      <c r="BB54">
        <v>1</v>
      </c>
      <c r="BC54">
        <v>6.13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3</v>
      </c>
      <c r="BM54">
        <v>11001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123</v>
      </c>
      <c r="CA54">
        <v>75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5"/>
        <v>0</v>
      </c>
      <c r="CQ54">
        <f t="shared" si="36"/>
        <v>0</v>
      </c>
      <c r="CR54">
        <f t="shared" si="37"/>
        <v>0</v>
      </c>
      <c r="CS54">
        <f t="shared" si="38"/>
        <v>0</v>
      </c>
      <c r="CT54">
        <f t="shared" si="39"/>
        <v>0</v>
      </c>
      <c r="CU54">
        <f t="shared" si="40"/>
        <v>0</v>
      </c>
      <c r="CV54">
        <f t="shared" si="41"/>
        <v>0</v>
      </c>
      <c r="CW54">
        <f t="shared" si="42"/>
        <v>0</v>
      </c>
      <c r="CX54">
        <f t="shared" si="43"/>
        <v>0</v>
      </c>
      <c r="CY54">
        <f t="shared" si="44"/>
        <v>0</v>
      </c>
      <c r="CZ54">
        <f t="shared" si="45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1005</v>
      </c>
      <c r="DV54" t="s">
        <v>61</v>
      </c>
      <c r="DW54" t="s">
        <v>61</v>
      </c>
      <c r="DX54">
        <v>1</v>
      </c>
      <c r="EE54">
        <v>39174504</v>
      </c>
      <c r="EF54">
        <v>2</v>
      </c>
      <c r="EG54" t="s">
        <v>13</v>
      </c>
      <c r="EH54">
        <v>0</v>
      </c>
      <c r="EI54" t="s">
        <v>3</v>
      </c>
      <c r="EJ54">
        <v>1</v>
      </c>
      <c r="EK54">
        <v>11001</v>
      </c>
      <c r="EL54" t="s">
        <v>136</v>
      </c>
      <c r="EM54" t="s">
        <v>137</v>
      </c>
      <c r="EO54" t="s">
        <v>3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6"/>
        <v>0</v>
      </c>
      <c r="FS54">
        <v>0</v>
      </c>
      <c r="FT54" t="s">
        <v>29</v>
      </c>
      <c r="FU54" t="s">
        <v>30</v>
      </c>
      <c r="FX54">
        <v>110.7</v>
      </c>
      <c r="FY54">
        <v>63.75</v>
      </c>
      <c r="GA54" t="s">
        <v>3</v>
      </c>
      <c r="GD54">
        <v>0</v>
      </c>
      <c r="GF54">
        <v>-1670135999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7"/>
        <v>0</v>
      </c>
      <c r="GM54">
        <f t="shared" si="48"/>
        <v>0</v>
      </c>
      <c r="GN54">
        <f t="shared" si="49"/>
        <v>0</v>
      </c>
      <c r="GO54">
        <f t="shared" si="50"/>
        <v>0</v>
      </c>
      <c r="GP54">
        <f t="shared" si="51"/>
        <v>0</v>
      </c>
      <c r="GR54">
        <v>0</v>
      </c>
      <c r="GS54">
        <v>3</v>
      </c>
      <c r="GT54">
        <v>0</v>
      </c>
      <c r="GU54" t="s">
        <v>3</v>
      </c>
      <c r="GV54">
        <f t="shared" si="52"/>
        <v>0</v>
      </c>
      <c r="GW54">
        <v>1</v>
      </c>
      <c r="GX54">
        <f t="shared" si="53"/>
        <v>0</v>
      </c>
      <c r="HA54">
        <v>0</v>
      </c>
      <c r="HB54">
        <v>0</v>
      </c>
      <c r="IK54">
        <v>0</v>
      </c>
    </row>
    <row r="55" spans="1:245" x14ac:dyDescent="0.2">
      <c r="A55">
        <v>17</v>
      </c>
      <c r="B55">
        <v>1</v>
      </c>
      <c r="C55">
        <f>ROW(SmtRes!A134)</f>
        <v>134</v>
      </c>
      <c r="D55">
        <f>ROW(EtalonRes!A128)</f>
        <v>128</v>
      </c>
      <c r="E55" t="s">
        <v>145</v>
      </c>
      <c r="F55" t="s">
        <v>146</v>
      </c>
      <c r="G55" t="s">
        <v>147</v>
      </c>
      <c r="H55" t="s">
        <v>17</v>
      </c>
      <c r="I55">
        <f>ROUND(8/100,9)</f>
        <v>0.08</v>
      </c>
      <c r="J55">
        <v>0</v>
      </c>
      <c r="O55">
        <f t="shared" si="21"/>
        <v>126.51</v>
      </c>
      <c r="P55">
        <f t="shared" si="22"/>
        <v>0.72</v>
      </c>
      <c r="Q55">
        <f t="shared" si="23"/>
        <v>0.98</v>
      </c>
      <c r="R55">
        <f t="shared" si="24"/>
        <v>0.17</v>
      </c>
      <c r="S55">
        <f t="shared" si="25"/>
        <v>124.81</v>
      </c>
      <c r="T55">
        <f t="shared" si="26"/>
        <v>0</v>
      </c>
      <c r="U55">
        <f t="shared" si="27"/>
        <v>2.116368</v>
      </c>
      <c r="V55">
        <f t="shared" si="28"/>
        <v>2.3999999999999998E-3</v>
      </c>
      <c r="W55">
        <f t="shared" si="29"/>
        <v>0</v>
      </c>
      <c r="X55">
        <f t="shared" si="30"/>
        <v>138.72999999999999</v>
      </c>
      <c r="Y55">
        <f t="shared" si="31"/>
        <v>79.989999999999995</v>
      </c>
      <c r="AA55">
        <v>39476960</v>
      </c>
      <c r="AB55">
        <f t="shared" si="32"/>
        <v>257.95</v>
      </c>
      <c r="AC55">
        <f t="shared" si="54"/>
        <v>1.46</v>
      </c>
      <c r="AD55">
        <f>ROUND((((((ET55*1.25)*1.2))-(((EU55*1.25)*1.2)))+AE55),2)</f>
        <v>1.99</v>
      </c>
      <c r="AE55">
        <f>ROUND((((EU55*1.25)*1.2)),2)</f>
        <v>0.35</v>
      </c>
      <c r="AF55">
        <f>ROUND((((EV55*1.15)*1.2)),2)</f>
        <v>254.5</v>
      </c>
      <c r="AG55">
        <f t="shared" si="33"/>
        <v>0</v>
      </c>
      <c r="AH55">
        <f>(((EW55*1.15)*1.2))</f>
        <v>26.454599999999999</v>
      </c>
      <c r="AI55">
        <f>(((EX55*1.25)*1.2))</f>
        <v>0.03</v>
      </c>
      <c r="AJ55">
        <f t="shared" si="34"/>
        <v>0</v>
      </c>
      <c r="AK55">
        <v>187.2</v>
      </c>
      <c r="AL55">
        <v>1.46</v>
      </c>
      <c r="AM55">
        <v>1.32</v>
      </c>
      <c r="AN55">
        <v>0.23</v>
      </c>
      <c r="AO55">
        <v>184.42</v>
      </c>
      <c r="AP55">
        <v>0</v>
      </c>
      <c r="AQ55">
        <v>19.170000000000002</v>
      </c>
      <c r="AR55">
        <v>0.02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6.13</v>
      </c>
      <c r="BA55">
        <v>6.13</v>
      </c>
      <c r="BB55">
        <v>6.13</v>
      </c>
      <c r="BC55">
        <v>6.13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148</v>
      </c>
      <c r="BM55">
        <v>11001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6.13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1274</v>
      </c>
      <c r="CO55">
        <v>0</v>
      </c>
      <c r="CP55">
        <f t="shared" si="35"/>
        <v>126.51</v>
      </c>
      <c r="CQ55">
        <f t="shared" si="36"/>
        <v>8.9497999999999998</v>
      </c>
      <c r="CR55">
        <f t="shared" si="37"/>
        <v>12.198700000000001</v>
      </c>
      <c r="CS55">
        <f t="shared" si="38"/>
        <v>2.1454999999999997</v>
      </c>
      <c r="CT55">
        <f t="shared" si="39"/>
        <v>1560.085</v>
      </c>
      <c r="CU55">
        <f t="shared" si="40"/>
        <v>0</v>
      </c>
      <c r="CV55">
        <f t="shared" si="41"/>
        <v>26.454599999999999</v>
      </c>
      <c r="CW55">
        <f t="shared" si="42"/>
        <v>0.03</v>
      </c>
      <c r="CX55">
        <f t="shared" si="43"/>
        <v>0</v>
      </c>
      <c r="CY55">
        <f t="shared" si="44"/>
        <v>138.7278</v>
      </c>
      <c r="CZ55">
        <f t="shared" si="45"/>
        <v>79.987200000000001</v>
      </c>
      <c r="DC55" t="s">
        <v>3</v>
      </c>
      <c r="DD55" t="s">
        <v>3</v>
      </c>
      <c r="DE55" t="s">
        <v>53</v>
      </c>
      <c r="DF55" t="s">
        <v>53</v>
      </c>
      <c r="DG55" t="s">
        <v>54</v>
      </c>
      <c r="DH55" t="s">
        <v>3</v>
      </c>
      <c r="DI55" t="s">
        <v>54</v>
      </c>
      <c r="DJ55" t="s">
        <v>53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17</v>
      </c>
      <c r="DW55" t="s">
        <v>17</v>
      </c>
      <c r="DX55">
        <v>100</v>
      </c>
      <c r="EE55">
        <v>39174504</v>
      </c>
      <c r="EF55">
        <v>2</v>
      </c>
      <c r="EG55" t="s">
        <v>13</v>
      </c>
      <c r="EH55">
        <v>0</v>
      </c>
      <c r="EI55" t="s">
        <v>3</v>
      </c>
      <c r="EJ55">
        <v>1</v>
      </c>
      <c r="EK55">
        <v>11001</v>
      </c>
      <c r="EL55" t="s">
        <v>136</v>
      </c>
      <c r="EM55" t="s">
        <v>137</v>
      </c>
      <c r="EO55" t="s">
        <v>89</v>
      </c>
      <c r="EQ55">
        <v>0</v>
      </c>
      <c r="ER55">
        <v>187.2</v>
      </c>
      <c r="ES55">
        <v>1.46</v>
      </c>
      <c r="ET55">
        <v>1.32</v>
      </c>
      <c r="EU55">
        <v>0.23</v>
      </c>
      <c r="EV55">
        <v>184.42</v>
      </c>
      <c r="EW55">
        <v>19.170000000000002</v>
      </c>
      <c r="EX55">
        <v>0.02</v>
      </c>
      <c r="EY55">
        <v>0</v>
      </c>
      <c r="FQ55">
        <v>0</v>
      </c>
      <c r="FR55">
        <f t="shared" si="46"/>
        <v>0</v>
      </c>
      <c r="FS55">
        <v>0</v>
      </c>
      <c r="FT55" t="s">
        <v>29</v>
      </c>
      <c r="FU55" t="s">
        <v>30</v>
      </c>
      <c r="FX55">
        <v>110.7</v>
      </c>
      <c r="FY55">
        <v>63.75</v>
      </c>
      <c r="GA55" t="s">
        <v>3</v>
      </c>
      <c r="GD55">
        <v>0</v>
      </c>
      <c r="GF55">
        <v>1083910103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7"/>
        <v>0</v>
      </c>
      <c r="GM55">
        <f t="shared" si="48"/>
        <v>345.23</v>
      </c>
      <c r="GN55">
        <f t="shared" si="49"/>
        <v>345.23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3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132</v>
      </c>
      <c r="E56" t="s">
        <v>149</v>
      </c>
      <c r="F56" t="s">
        <v>150</v>
      </c>
      <c r="G56" t="s">
        <v>151</v>
      </c>
      <c r="H56" t="s">
        <v>152</v>
      </c>
      <c r="I56">
        <f>I55*J56</f>
        <v>1</v>
      </c>
      <c r="J56">
        <v>12.5</v>
      </c>
      <c r="O56">
        <f t="shared" si="21"/>
        <v>16727.05</v>
      </c>
      <c r="P56">
        <f t="shared" si="22"/>
        <v>16727.05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39476960</v>
      </c>
      <c r="AB56">
        <f t="shared" si="32"/>
        <v>2728.72</v>
      </c>
      <c r="AC56">
        <f t="shared" si="54"/>
        <v>2728.72</v>
      </c>
      <c r="AD56">
        <f>ROUND((((ET56)-(EU56))+AE56),2)</f>
        <v>0</v>
      </c>
      <c r="AE56">
        <f t="shared" ref="AE56:AF58" si="55">ROUND((EU56),2)</f>
        <v>0</v>
      </c>
      <c r="AF56">
        <f t="shared" si="55"/>
        <v>0</v>
      </c>
      <c r="AG56">
        <f t="shared" si="33"/>
        <v>0</v>
      </c>
      <c r="AH56">
        <f t="shared" ref="AH56:AI58" si="56">(EW56)</f>
        <v>0</v>
      </c>
      <c r="AI56">
        <f t="shared" si="56"/>
        <v>0</v>
      </c>
      <c r="AJ56">
        <f t="shared" si="34"/>
        <v>0</v>
      </c>
      <c r="AK56">
        <v>2728.72</v>
      </c>
      <c r="AL56">
        <v>2728.72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111</v>
      </c>
      <c r="AU56">
        <v>64</v>
      </c>
      <c r="AV56">
        <v>1</v>
      </c>
      <c r="AW56">
        <v>1</v>
      </c>
      <c r="AZ56">
        <v>6.13</v>
      </c>
      <c r="BA56">
        <v>1</v>
      </c>
      <c r="BB56">
        <v>1</v>
      </c>
      <c r="BC56">
        <v>6.13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153</v>
      </c>
      <c r="BM56">
        <v>11001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123</v>
      </c>
      <c r="CA56">
        <v>75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35"/>
        <v>16727.05</v>
      </c>
      <c r="CQ56">
        <f t="shared" si="36"/>
        <v>16727.053599999999</v>
      </c>
      <c r="CR56">
        <f t="shared" si="37"/>
        <v>0</v>
      </c>
      <c r="CS56">
        <f t="shared" si="38"/>
        <v>0</v>
      </c>
      <c r="CT56">
        <f t="shared" si="39"/>
        <v>0</v>
      </c>
      <c r="CU56">
        <f t="shared" si="40"/>
        <v>0</v>
      </c>
      <c r="CV56">
        <f t="shared" si="41"/>
        <v>0</v>
      </c>
      <c r="CW56">
        <f t="shared" si="42"/>
        <v>0</v>
      </c>
      <c r="CX56">
        <f t="shared" si="43"/>
        <v>0</v>
      </c>
      <c r="CY56">
        <f t="shared" si="44"/>
        <v>0</v>
      </c>
      <c r="CZ56">
        <f t="shared" si="45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1013</v>
      </c>
      <c r="DV56" t="s">
        <v>152</v>
      </c>
      <c r="DW56" t="s">
        <v>152</v>
      </c>
      <c r="DX56">
        <v>1</v>
      </c>
      <c r="EE56">
        <v>39174504</v>
      </c>
      <c r="EF56">
        <v>2</v>
      </c>
      <c r="EG56" t="s">
        <v>13</v>
      </c>
      <c r="EH56">
        <v>0</v>
      </c>
      <c r="EI56" t="s">
        <v>3</v>
      </c>
      <c r="EJ56">
        <v>1</v>
      </c>
      <c r="EK56">
        <v>11001</v>
      </c>
      <c r="EL56" t="s">
        <v>136</v>
      </c>
      <c r="EM56" t="s">
        <v>137</v>
      </c>
      <c r="EO56" t="s">
        <v>3</v>
      </c>
      <c r="EQ56">
        <v>0</v>
      </c>
      <c r="ER56">
        <v>2728.72</v>
      </c>
      <c r="ES56">
        <v>2728.72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6"/>
        <v>0</v>
      </c>
      <c r="FS56">
        <v>0</v>
      </c>
      <c r="FT56" t="s">
        <v>29</v>
      </c>
      <c r="FU56" t="s">
        <v>30</v>
      </c>
      <c r="FX56">
        <v>110.7</v>
      </c>
      <c r="FY56">
        <v>63.75</v>
      </c>
      <c r="GA56" t="s">
        <v>3</v>
      </c>
      <c r="GD56">
        <v>0</v>
      </c>
      <c r="GF56">
        <v>1674289896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7"/>
        <v>0</v>
      </c>
      <c r="GM56">
        <f t="shared" si="48"/>
        <v>16727.05</v>
      </c>
      <c r="GN56">
        <f t="shared" si="49"/>
        <v>16727.05</v>
      </c>
      <c r="GO56">
        <f t="shared" si="50"/>
        <v>0</v>
      </c>
      <c r="GP56">
        <f t="shared" si="51"/>
        <v>0</v>
      </c>
      <c r="GR56">
        <v>0</v>
      </c>
      <c r="GS56">
        <v>3</v>
      </c>
      <c r="GT56">
        <v>0</v>
      </c>
      <c r="GU56" t="s">
        <v>3</v>
      </c>
      <c r="GV56">
        <f t="shared" si="52"/>
        <v>0</v>
      </c>
      <c r="GW56">
        <v>1</v>
      </c>
      <c r="GX56">
        <f t="shared" si="53"/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131</v>
      </c>
      <c r="E57" t="s">
        <v>154</v>
      </c>
      <c r="F57" t="s">
        <v>155</v>
      </c>
      <c r="G57" t="s">
        <v>156</v>
      </c>
      <c r="H57" t="s">
        <v>61</v>
      </c>
      <c r="I57">
        <f>I55*J57</f>
        <v>8</v>
      </c>
      <c r="J57">
        <v>100</v>
      </c>
      <c r="O57">
        <f t="shared" si="21"/>
        <v>0</v>
      </c>
      <c r="P57">
        <f t="shared" si="22"/>
        <v>0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39476960</v>
      </c>
      <c r="AB57">
        <f t="shared" si="32"/>
        <v>0</v>
      </c>
      <c r="AC57">
        <f t="shared" si="54"/>
        <v>0</v>
      </c>
      <c r="AD57">
        <f>ROUND((((ET57)-(EU57))+AE57),2)</f>
        <v>0</v>
      </c>
      <c r="AE57">
        <f t="shared" si="55"/>
        <v>0</v>
      </c>
      <c r="AF57">
        <f t="shared" si="55"/>
        <v>0</v>
      </c>
      <c r="AG57">
        <f t="shared" si="33"/>
        <v>0</v>
      </c>
      <c r="AH57">
        <f t="shared" si="56"/>
        <v>0</v>
      </c>
      <c r="AI57">
        <f t="shared" si="56"/>
        <v>0</v>
      </c>
      <c r="AJ57">
        <f t="shared" si="34"/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6.13</v>
      </c>
      <c r="BA57">
        <v>1</v>
      </c>
      <c r="BB57">
        <v>1</v>
      </c>
      <c r="BC57">
        <v>6.13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3</v>
      </c>
      <c r="BM57">
        <v>11001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123</v>
      </c>
      <c r="CA57">
        <v>75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5"/>
        <v>0</v>
      </c>
      <c r="CQ57">
        <f t="shared" si="36"/>
        <v>0</v>
      </c>
      <c r="CR57">
        <f t="shared" si="37"/>
        <v>0</v>
      </c>
      <c r="CS57">
        <f t="shared" si="38"/>
        <v>0</v>
      </c>
      <c r="CT57">
        <f t="shared" si="39"/>
        <v>0</v>
      </c>
      <c r="CU57">
        <f t="shared" si="40"/>
        <v>0</v>
      </c>
      <c r="CV57">
        <f t="shared" si="41"/>
        <v>0</v>
      </c>
      <c r="CW57">
        <f t="shared" si="42"/>
        <v>0</v>
      </c>
      <c r="CX57">
        <f t="shared" si="43"/>
        <v>0</v>
      </c>
      <c r="CY57">
        <f t="shared" si="44"/>
        <v>0</v>
      </c>
      <c r="CZ57">
        <f t="shared" si="45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61</v>
      </c>
      <c r="DW57" t="s">
        <v>61</v>
      </c>
      <c r="DX57">
        <v>1</v>
      </c>
      <c r="EE57">
        <v>39174504</v>
      </c>
      <c r="EF57">
        <v>2</v>
      </c>
      <c r="EG57" t="s">
        <v>13</v>
      </c>
      <c r="EH57">
        <v>0</v>
      </c>
      <c r="EI57" t="s">
        <v>3</v>
      </c>
      <c r="EJ57">
        <v>1</v>
      </c>
      <c r="EK57">
        <v>11001</v>
      </c>
      <c r="EL57" t="s">
        <v>136</v>
      </c>
      <c r="EM57" t="s">
        <v>137</v>
      </c>
      <c r="EO57" t="s">
        <v>3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6"/>
        <v>0</v>
      </c>
      <c r="FS57">
        <v>0</v>
      </c>
      <c r="FT57" t="s">
        <v>29</v>
      </c>
      <c r="FU57" t="s">
        <v>30</v>
      </c>
      <c r="FX57">
        <v>110.7</v>
      </c>
      <c r="FY57">
        <v>63.75</v>
      </c>
      <c r="GA57" t="s">
        <v>3</v>
      </c>
      <c r="GD57">
        <v>0</v>
      </c>
      <c r="GF57">
        <v>-1797250708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7"/>
        <v>0</v>
      </c>
      <c r="GM57">
        <f t="shared" si="48"/>
        <v>0</v>
      </c>
      <c r="GN57">
        <f t="shared" si="49"/>
        <v>0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3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134</v>
      </c>
      <c r="E58" t="s">
        <v>157</v>
      </c>
      <c r="F58" t="s">
        <v>158</v>
      </c>
      <c r="G58" t="s">
        <v>159</v>
      </c>
      <c r="H58" t="s">
        <v>160</v>
      </c>
      <c r="I58">
        <f>I55*J58</f>
        <v>0.1</v>
      </c>
      <c r="J58">
        <v>1.25</v>
      </c>
      <c r="O58">
        <f t="shared" si="21"/>
        <v>20.96</v>
      </c>
      <c r="P58">
        <f t="shared" si="22"/>
        <v>20.96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39476960</v>
      </c>
      <c r="AB58">
        <f t="shared" si="32"/>
        <v>34.200000000000003</v>
      </c>
      <c r="AC58">
        <f t="shared" si="54"/>
        <v>34.200000000000003</v>
      </c>
      <c r="AD58">
        <f>ROUND((((ET58)-(EU58))+AE58),2)</f>
        <v>0</v>
      </c>
      <c r="AE58">
        <f t="shared" si="55"/>
        <v>0</v>
      </c>
      <c r="AF58">
        <f t="shared" si="55"/>
        <v>0</v>
      </c>
      <c r="AG58">
        <f t="shared" si="33"/>
        <v>0</v>
      </c>
      <c r="AH58">
        <f t="shared" si="56"/>
        <v>0</v>
      </c>
      <c r="AI58">
        <f t="shared" si="56"/>
        <v>0</v>
      </c>
      <c r="AJ58">
        <f t="shared" si="34"/>
        <v>0</v>
      </c>
      <c r="AK58">
        <v>34.200000000000003</v>
      </c>
      <c r="AL58">
        <v>34.200000000000003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111</v>
      </c>
      <c r="AU58">
        <v>64</v>
      </c>
      <c r="AV58">
        <v>1</v>
      </c>
      <c r="AW58">
        <v>1</v>
      </c>
      <c r="AZ58">
        <v>6.13</v>
      </c>
      <c r="BA58">
        <v>1</v>
      </c>
      <c r="BB58">
        <v>1</v>
      </c>
      <c r="BC58">
        <v>6.13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1</v>
      </c>
      <c r="BJ58" t="s">
        <v>161</v>
      </c>
      <c r="BM58">
        <v>11001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123</v>
      </c>
      <c r="CA58">
        <v>75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35"/>
        <v>20.96</v>
      </c>
      <c r="CQ58">
        <f t="shared" si="36"/>
        <v>209.64600000000002</v>
      </c>
      <c r="CR58">
        <f t="shared" si="37"/>
        <v>0</v>
      </c>
      <c r="CS58">
        <f t="shared" si="38"/>
        <v>0</v>
      </c>
      <c r="CT58">
        <f t="shared" si="39"/>
        <v>0</v>
      </c>
      <c r="CU58">
        <f t="shared" si="40"/>
        <v>0</v>
      </c>
      <c r="CV58">
        <f t="shared" si="41"/>
        <v>0</v>
      </c>
      <c r="CW58">
        <f t="shared" si="42"/>
        <v>0</v>
      </c>
      <c r="CX58">
        <f t="shared" si="43"/>
        <v>0</v>
      </c>
      <c r="CY58">
        <f t="shared" si="44"/>
        <v>0</v>
      </c>
      <c r="CZ58">
        <f t="shared" si="45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1010</v>
      </c>
      <c r="DV58" t="s">
        <v>160</v>
      </c>
      <c r="DW58" t="s">
        <v>160</v>
      </c>
      <c r="DX58">
        <v>10</v>
      </c>
      <c r="EE58">
        <v>39174504</v>
      </c>
      <c r="EF58">
        <v>2</v>
      </c>
      <c r="EG58" t="s">
        <v>13</v>
      </c>
      <c r="EH58">
        <v>0</v>
      </c>
      <c r="EI58" t="s">
        <v>3</v>
      </c>
      <c r="EJ58">
        <v>1</v>
      </c>
      <c r="EK58">
        <v>11001</v>
      </c>
      <c r="EL58" t="s">
        <v>136</v>
      </c>
      <c r="EM58" t="s">
        <v>137</v>
      </c>
      <c r="EO58" t="s">
        <v>3</v>
      </c>
      <c r="EQ58">
        <v>0</v>
      </c>
      <c r="ER58">
        <v>34.200000000000003</v>
      </c>
      <c r="ES58">
        <v>34.200000000000003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46"/>
        <v>0</v>
      </c>
      <c r="FS58">
        <v>0</v>
      </c>
      <c r="FT58" t="s">
        <v>29</v>
      </c>
      <c r="FU58" t="s">
        <v>30</v>
      </c>
      <c r="FX58">
        <v>110.7</v>
      </c>
      <c r="FY58">
        <v>63.75</v>
      </c>
      <c r="GA58" t="s">
        <v>3</v>
      </c>
      <c r="GD58">
        <v>0</v>
      </c>
      <c r="GF58">
        <v>1317278185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7"/>
        <v>0</v>
      </c>
      <c r="GM58">
        <f t="shared" si="48"/>
        <v>20.96</v>
      </c>
      <c r="GN58">
        <f t="shared" si="49"/>
        <v>20.96</v>
      </c>
      <c r="GO58">
        <f t="shared" si="50"/>
        <v>0</v>
      </c>
      <c r="GP58">
        <f t="shared" si="51"/>
        <v>0</v>
      </c>
      <c r="GR58">
        <v>0</v>
      </c>
      <c r="GS58">
        <v>3</v>
      </c>
      <c r="GT58">
        <v>0</v>
      </c>
      <c r="GU58" t="s">
        <v>3</v>
      </c>
      <c r="GV58">
        <f t="shared" si="52"/>
        <v>0</v>
      </c>
      <c r="GW58">
        <v>1</v>
      </c>
      <c r="GX58">
        <f t="shared" si="53"/>
        <v>0</v>
      </c>
      <c r="HA58">
        <v>0</v>
      </c>
      <c r="HB58">
        <v>0</v>
      </c>
      <c r="IK58">
        <v>0</v>
      </c>
    </row>
    <row r="59" spans="1:245" x14ac:dyDescent="0.2">
      <c r="A59">
        <v>17</v>
      </c>
      <c r="B59">
        <v>1</v>
      </c>
      <c r="C59">
        <f>ROW(SmtRes!A141)</f>
        <v>141</v>
      </c>
      <c r="D59">
        <f>ROW(EtalonRes!A134)</f>
        <v>134</v>
      </c>
      <c r="E59" t="s">
        <v>162</v>
      </c>
      <c r="F59" t="s">
        <v>163</v>
      </c>
      <c r="G59" t="s">
        <v>164</v>
      </c>
      <c r="H59" t="s">
        <v>17</v>
      </c>
      <c r="I59">
        <f>ROUND(12.5/100,9)</f>
        <v>0.125</v>
      </c>
      <c r="J59">
        <v>0</v>
      </c>
      <c r="O59">
        <f t="shared" si="21"/>
        <v>975.38</v>
      </c>
      <c r="P59">
        <f t="shared" si="22"/>
        <v>16.36</v>
      </c>
      <c r="Q59">
        <f t="shared" si="23"/>
        <v>120.83</v>
      </c>
      <c r="R59">
        <f t="shared" si="24"/>
        <v>49.28</v>
      </c>
      <c r="S59">
        <f t="shared" si="25"/>
        <v>838.19</v>
      </c>
      <c r="T59">
        <f t="shared" si="26"/>
        <v>0</v>
      </c>
      <c r="U59">
        <f t="shared" si="27"/>
        <v>17.530312499999997</v>
      </c>
      <c r="V59">
        <f t="shared" si="28"/>
        <v>0.59531250000000002</v>
      </c>
      <c r="W59">
        <f t="shared" si="29"/>
        <v>0</v>
      </c>
      <c r="X59">
        <f t="shared" si="30"/>
        <v>985.09</v>
      </c>
      <c r="Y59">
        <f t="shared" si="31"/>
        <v>567.98</v>
      </c>
      <c r="AA59">
        <v>39476960</v>
      </c>
      <c r="AB59">
        <f t="shared" si="32"/>
        <v>1272.93</v>
      </c>
      <c r="AC59">
        <f>ROUND(((ES59*2.5)),2)</f>
        <v>21.35</v>
      </c>
      <c r="AD59">
        <f>ROUND((((((ET59*1.25*2.5)*1.2))-(((EU59*1.25*2.5)*1.2)))+AE59),2)</f>
        <v>157.69</v>
      </c>
      <c r="AE59">
        <f>ROUND((((EU59*1.25*2.5)*1.2)),2)</f>
        <v>64.31</v>
      </c>
      <c r="AF59">
        <f>ROUND((((EV59*1.15*2.5)*1.2)),2)</f>
        <v>1093.8900000000001</v>
      </c>
      <c r="AG59">
        <f t="shared" si="33"/>
        <v>0</v>
      </c>
      <c r="AH59">
        <f>(((EW59*1.15*2.5)*1.2))</f>
        <v>140.24249999999998</v>
      </c>
      <c r="AI59">
        <f>(((EX59*1.25*2.5)*1.2))</f>
        <v>4.7625000000000002</v>
      </c>
      <c r="AJ59">
        <f t="shared" si="34"/>
        <v>0</v>
      </c>
      <c r="AK59">
        <v>367.66</v>
      </c>
      <c r="AL59">
        <v>8.5399999999999991</v>
      </c>
      <c r="AM59">
        <v>42.05</v>
      </c>
      <c r="AN59">
        <v>17.149999999999999</v>
      </c>
      <c r="AO59">
        <v>317.07</v>
      </c>
      <c r="AP59">
        <v>0</v>
      </c>
      <c r="AQ59">
        <v>40.65</v>
      </c>
      <c r="AR59">
        <v>1.27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6.13</v>
      </c>
      <c r="BA59">
        <v>6.13</v>
      </c>
      <c r="BB59">
        <v>6.13</v>
      </c>
      <c r="BC59">
        <v>6.13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1</v>
      </c>
      <c r="BJ59" t="s">
        <v>165</v>
      </c>
      <c r="BM59">
        <v>11001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6.13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123</v>
      </c>
      <c r="CA59">
        <v>75</v>
      </c>
      <c r="CF59">
        <v>0</v>
      </c>
      <c r="CG59">
        <v>0</v>
      </c>
      <c r="CM59">
        <v>0</v>
      </c>
      <c r="CN59" t="s">
        <v>1275</v>
      </c>
      <c r="CO59">
        <v>0</v>
      </c>
      <c r="CP59">
        <f t="shared" si="35"/>
        <v>975.38000000000011</v>
      </c>
      <c r="CQ59">
        <f t="shared" si="36"/>
        <v>130.87550000000002</v>
      </c>
      <c r="CR59">
        <f t="shared" si="37"/>
        <v>966.63969999999995</v>
      </c>
      <c r="CS59">
        <f t="shared" si="38"/>
        <v>394.22030000000001</v>
      </c>
      <c r="CT59">
        <f t="shared" si="39"/>
        <v>6705.5457000000006</v>
      </c>
      <c r="CU59">
        <f t="shared" si="40"/>
        <v>0</v>
      </c>
      <c r="CV59">
        <f t="shared" si="41"/>
        <v>140.24249999999998</v>
      </c>
      <c r="CW59">
        <f t="shared" si="42"/>
        <v>4.7625000000000002</v>
      </c>
      <c r="CX59">
        <f t="shared" si="43"/>
        <v>0</v>
      </c>
      <c r="CY59">
        <f t="shared" si="44"/>
        <v>985.09169999999995</v>
      </c>
      <c r="CZ59">
        <f t="shared" si="45"/>
        <v>567.98080000000004</v>
      </c>
      <c r="DC59" t="s">
        <v>3</v>
      </c>
      <c r="DD59" t="s">
        <v>166</v>
      </c>
      <c r="DE59" t="s">
        <v>167</v>
      </c>
      <c r="DF59" t="s">
        <v>167</v>
      </c>
      <c r="DG59" t="s">
        <v>168</v>
      </c>
      <c r="DH59" t="s">
        <v>3</v>
      </c>
      <c r="DI59" t="s">
        <v>168</v>
      </c>
      <c r="DJ59" t="s">
        <v>167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17</v>
      </c>
      <c r="DW59" t="s">
        <v>17</v>
      </c>
      <c r="DX59">
        <v>100</v>
      </c>
      <c r="EE59">
        <v>39174504</v>
      </c>
      <c r="EF59">
        <v>2</v>
      </c>
      <c r="EG59" t="s">
        <v>13</v>
      </c>
      <c r="EH59">
        <v>0</v>
      </c>
      <c r="EI59" t="s">
        <v>3</v>
      </c>
      <c r="EJ59">
        <v>1</v>
      </c>
      <c r="EK59">
        <v>11001</v>
      </c>
      <c r="EL59" t="s">
        <v>136</v>
      </c>
      <c r="EM59" t="s">
        <v>137</v>
      </c>
      <c r="EO59" t="s">
        <v>169</v>
      </c>
      <c r="EQ59">
        <v>0</v>
      </c>
      <c r="ER59">
        <v>367.66</v>
      </c>
      <c r="ES59">
        <v>8.5399999999999991</v>
      </c>
      <c r="ET59">
        <v>42.05</v>
      </c>
      <c r="EU59">
        <v>17.149999999999999</v>
      </c>
      <c r="EV59">
        <v>317.07</v>
      </c>
      <c r="EW59">
        <v>40.65</v>
      </c>
      <c r="EX59">
        <v>1.27</v>
      </c>
      <c r="EY59">
        <v>0</v>
      </c>
      <c r="FQ59">
        <v>0</v>
      </c>
      <c r="FR59">
        <f t="shared" si="46"/>
        <v>0</v>
      </c>
      <c r="FS59">
        <v>0</v>
      </c>
      <c r="FT59" t="s">
        <v>29</v>
      </c>
      <c r="FU59" t="s">
        <v>30</v>
      </c>
      <c r="FX59">
        <v>110.7</v>
      </c>
      <c r="FY59">
        <v>63.75</v>
      </c>
      <c r="GA59" t="s">
        <v>3</v>
      </c>
      <c r="GD59">
        <v>0</v>
      </c>
      <c r="GF59">
        <v>1465835138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7"/>
        <v>0</v>
      </c>
      <c r="GM59">
        <f t="shared" si="48"/>
        <v>2528.4499999999998</v>
      </c>
      <c r="GN59">
        <f t="shared" si="49"/>
        <v>2528.4499999999998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3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140</v>
      </c>
      <c r="E60" t="s">
        <v>170</v>
      </c>
      <c r="F60" t="s">
        <v>171</v>
      </c>
      <c r="G60" t="s">
        <v>172</v>
      </c>
      <c r="H60" t="s">
        <v>25</v>
      </c>
      <c r="I60">
        <f>I59*J60</f>
        <v>0.63749999999999996</v>
      </c>
      <c r="J60">
        <v>5.0999999999999996</v>
      </c>
      <c r="O60">
        <f t="shared" ref="O60:O91" si="57">ROUND(CP60,2)</f>
        <v>2188.41</v>
      </c>
      <c r="P60">
        <f t="shared" ref="P60:P91" si="58">ROUND(CQ60*I60,2)</f>
        <v>2188.41</v>
      </c>
      <c r="Q60">
        <f t="shared" ref="Q60:Q91" si="59">ROUND(CR60*I60,2)</f>
        <v>0</v>
      </c>
      <c r="R60">
        <f t="shared" ref="R60:R91" si="60">ROUND(CS60*I60,2)</f>
        <v>0</v>
      </c>
      <c r="S60">
        <f t="shared" ref="S60:S91" si="61">ROUND(CT60*I60,2)</f>
        <v>0</v>
      </c>
      <c r="T60">
        <f t="shared" ref="T60:T91" si="62">ROUND(CU60*I60,2)</f>
        <v>0</v>
      </c>
      <c r="U60">
        <f t="shared" ref="U60:U91" si="63">CV60*I60</f>
        <v>0</v>
      </c>
      <c r="V60">
        <f t="shared" ref="V60:V91" si="64">CW60*I60</f>
        <v>0</v>
      </c>
      <c r="W60">
        <f t="shared" ref="W60:W91" si="65">ROUND(CX60*I60,2)</f>
        <v>0</v>
      </c>
      <c r="X60">
        <f t="shared" ref="X60:X91" si="66">ROUND(CY60,2)</f>
        <v>0</v>
      </c>
      <c r="Y60">
        <f t="shared" ref="Y60:Y91" si="67">ROUND(CZ60,2)</f>
        <v>0</v>
      </c>
      <c r="AA60">
        <v>39476960</v>
      </c>
      <c r="AB60">
        <f t="shared" ref="AB60:AB91" si="68">ROUND((AC60+AD60+AF60),2)</f>
        <v>560</v>
      </c>
      <c r="AC60">
        <f t="shared" ref="AC60:AC98" si="69">ROUND((ES60),2)</f>
        <v>560</v>
      </c>
      <c r="AD60">
        <f>ROUND((((ET60)-(EU60))+AE60),2)</f>
        <v>0</v>
      </c>
      <c r="AE60">
        <f>ROUND((EU60),2)</f>
        <v>0</v>
      </c>
      <c r="AF60">
        <f>ROUND((EV60),2)</f>
        <v>0</v>
      </c>
      <c r="AG60">
        <f t="shared" ref="AG60:AG91" si="70">ROUND((AP60),2)</f>
        <v>0</v>
      </c>
      <c r="AH60">
        <f>(EW60)</f>
        <v>0</v>
      </c>
      <c r="AI60">
        <f>(EX60)</f>
        <v>0</v>
      </c>
      <c r="AJ60">
        <f t="shared" ref="AJ60:AJ91" si="71">ROUND((AS60),2)</f>
        <v>0</v>
      </c>
      <c r="AK60">
        <v>560</v>
      </c>
      <c r="AL60">
        <v>560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111</v>
      </c>
      <c r="AU60">
        <v>64</v>
      </c>
      <c r="AV60">
        <v>1</v>
      </c>
      <c r="AW60">
        <v>1</v>
      </c>
      <c r="AZ60">
        <v>6.13</v>
      </c>
      <c r="BA60">
        <v>1</v>
      </c>
      <c r="BB60">
        <v>1</v>
      </c>
      <c r="BC60">
        <v>6.13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173</v>
      </c>
      <c r="BM60">
        <v>11001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123</v>
      </c>
      <c r="CA60">
        <v>75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ref="CP60:CP91" si="72">(P60+Q60+S60)</f>
        <v>2188.41</v>
      </c>
      <c r="CQ60">
        <f t="shared" ref="CQ60:CQ91" si="73">AC60*BC60</f>
        <v>3432.7999999999997</v>
      </c>
      <c r="CR60">
        <f t="shared" ref="CR60:CR91" si="74">AD60*BB60</f>
        <v>0</v>
      </c>
      <c r="CS60">
        <f t="shared" ref="CS60:CS91" si="75">AE60*BS60</f>
        <v>0</v>
      </c>
      <c r="CT60">
        <f t="shared" ref="CT60:CT91" si="76">AF60*BA60</f>
        <v>0</v>
      </c>
      <c r="CU60">
        <f t="shared" ref="CU60:CU91" si="77">AG60</f>
        <v>0</v>
      </c>
      <c r="CV60">
        <f t="shared" ref="CV60:CV91" si="78">AH60</f>
        <v>0</v>
      </c>
      <c r="CW60">
        <f t="shared" ref="CW60:CW91" si="79">AI60</f>
        <v>0</v>
      </c>
      <c r="CX60">
        <f t="shared" ref="CX60:CX91" si="80">AJ60</f>
        <v>0</v>
      </c>
      <c r="CY60">
        <f t="shared" ref="CY60:CY91" si="81">(((S60+R60)*AT60)/100)</f>
        <v>0</v>
      </c>
      <c r="CZ60">
        <f t="shared" ref="CZ60:CZ91" si="82">(((S60+R60)*AU60)/100)</f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1007</v>
      </c>
      <c r="DV60" t="s">
        <v>25</v>
      </c>
      <c r="DW60" t="s">
        <v>25</v>
      </c>
      <c r="DX60">
        <v>1</v>
      </c>
      <c r="EE60">
        <v>39174504</v>
      </c>
      <c r="EF60">
        <v>2</v>
      </c>
      <c r="EG60" t="s">
        <v>13</v>
      </c>
      <c r="EH60">
        <v>0</v>
      </c>
      <c r="EI60" t="s">
        <v>3</v>
      </c>
      <c r="EJ60">
        <v>1</v>
      </c>
      <c r="EK60">
        <v>11001</v>
      </c>
      <c r="EL60" t="s">
        <v>136</v>
      </c>
      <c r="EM60" t="s">
        <v>137</v>
      </c>
      <c r="EO60" t="s">
        <v>3</v>
      </c>
      <c r="EQ60">
        <v>0</v>
      </c>
      <c r="ER60">
        <v>560</v>
      </c>
      <c r="ES60">
        <v>560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91" si="83">ROUND(IF(AND(BH60=3,BI60=3),P60,0),2)</f>
        <v>0</v>
      </c>
      <c r="FS60">
        <v>0</v>
      </c>
      <c r="FT60" t="s">
        <v>29</v>
      </c>
      <c r="FU60" t="s">
        <v>30</v>
      </c>
      <c r="FX60">
        <v>110.7</v>
      </c>
      <c r="FY60">
        <v>63.75</v>
      </c>
      <c r="GA60" t="s">
        <v>3</v>
      </c>
      <c r="GD60">
        <v>0</v>
      </c>
      <c r="GF60">
        <v>-1176852747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84">ROUND(IF(AND(BH60=3,BI60=3,FS60&lt;&gt;0),P60,0),2)</f>
        <v>0</v>
      </c>
      <c r="GM60">
        <f t="shared" ref="GM60:GM91" si="85">ROUND(O60+X60+Y60+GK60,2)+GX60</f>
        <v>2188.41</v>
      </c>
      <c r="GN60">
        <f t="shared" ref="GN60:GN91" si="86">IF(OR(BI60=0,BI60=1),ROUND(O60+X60+Y60+GK60,2),0)</f>
        <v>2188.41</v>
      </c>
      <c r="GO60">
        <f t="shared" ref="GO60:GO91" si="87">IF(BI60=2,ROUND(O60+X60+Y60+GK60,2),0)</f>
        <v>0</v>
      </c>
      <c r="GP60">
        <f t="shared" ref="GP60:GP91" si="88">IF(BI60=4,ROUND(O60+X60+Y60+GK60,2)+GX60,0)</f>
        <v>0</v>
      </c>
      <c r="GR60">
        <v>0</v>
      </c>
      <c r="GS60">
        <v>3</v>
      </c>
      <c r="GT60">
        <v>0</v>
      </c>
      <c r="GU60" t="s">
        <v>3</v>
      </c>
      <c r="GV60">
        <f t="shared" ref="GV60:GV91" si="89">ROUND(GT60,2)</f>
        <v>0</v>
      </c>
      <c r="GW60">
        <v>1</v>
      </c>
      <c r="GX60">
        <f t="shared" ref="GX60:GX91" si="90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141</v>
      </c>
      <c r="E61" t="s">
        <v>174</v>
      </c>
      <c r="F61" t="s">
        <v>175</v>
      </c>
      <c r="G61" t="s">
        <v>176</v>
      </c>
      <c r="H61" t="s">
        <v>25</v>
      </c>
      <c r="I61">
        <f>I59*J61</f>
        <v>0.63749999999999996</v>
      </c>
      <c r="J61">
        <v>5.0999999999999996</v>
      </c>
      <c r="O61">
        <f t="shared" si="57"/>
        <v>0</v>
      </c>
      <c r="P61">
        <f t="shared" si="58"/>
        <v>0</v>
      </c>
      <c r="Q61">
        <f t="shared" si="59"/>
        <v>0</v>
      </c>
      <c r="R61">
        <f t="shared" si="60"/>
        <v>0</v>
      </c>
      <c r="S61">
        <f t="shared" si="61"/>
        <v>0</v>
      </c>
      <c r="T61">
        <f t="shared" si="62"/>
        <v>0</v>
      </c>
      <c r="U61">
        <f t="shared" si="63"/>
        <v>0</v>
      </c>
      <c r="V61">
        <f t="shared" si="64"/>
        <v>0</v>
      </c>
      <c r="W61">
        <f t="shared" si="65"/>
        <v>0</v>
      </c>
      <c r="X61">
        <f t="shared" si="66"/>
        <v>0</v>
      </c>
      <c r="Y61">
        <f t="shared" si="67"/>
        <v>0</v>
      </c>
      <c r="AA61">
        <v>39476960</v>
      </c>
      <c r="AB61">
        <f t="shared" si="68"/>
        <v>0</v>
      </c>
      <c r="AC61">
        <f t="shared" si="69"/>
        <v>0</v>
      </c>
      <c r="AD61">
        <f>ROUND((((ET61)-(EU61))+AE61),2)</f>
        <v>0</v>
      </c>
      <c r="AE61">
        <f>ROUND((EU61),2)</f>
        <v>0</v>
      </c>
      <c r="AF61">
        <f>ROUND((EV61),2)</f>
        <v>0</v>
      </c>
      <c r="AG61">
        <f t="shared" si="70"/>
        <v>0</v>
      </c>
      <c r="AH61">
        <f>(EW61)</f>
        <v>0</v>
      </c>
      <c r="AI61">
        <f>(EX61)</f>
        <v>0</v>
      </c>
      <c r="AJ61">
        <f t="shared" si="71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6.13</v>
      </c>
      <c r="BA61">
        <v>1</v>
      </c>
      <c r="BB61">
        <v>1</v>
      </c>
      <c r="BC61">
        <v>6.13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3</v>
      </c>
      <c r="BM61">
        <v>11001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123</v>
      </c>
      <c r="CA61">
        <v>75</v>
      </c>
      <c r="CF61">
        <v>0</v>
      </c>
      <c r="CG61">
        <v>0</v>
      </c>
      <c r="CM61">
        <v>0</v>
      </c>
      <c r="CN61" t="s">
        <v>1276</v>
      </c>
      <c r="CO61">
        <v>0</v>
      </c>
      <c r="CP61">
        <f t="shared" si="72"/>
        <v>0</v>
      </c>
      <c r="CQ61">
        <f t="shared" si="73"/>
        <v>0</v>
      </c>
      <c r="CR61">
        <f t="shared" si="74"/>
        <v>0</v>
      </c>
      <c r="CS61">
        <f t="shared" si="75"/>
        <v>0</v>
      </c>
      <c r="CT61">
        <f t="shared" si="76"/>
        <v>0</v>
      </c>
      <c r="CU61">
        <f t="shared" si="77"/>
        <v>0</v>
      </c>
      <c r="CV61">
        <f t="shared" si="78"/>
        <v>0</v>
      </c>
      <c r="CW61">
        <f t="shared" si="79"/>
        <v>0</v>
      </c>
      <c r="CX61">
        <f t="shared" si="80"/>
        <v>0</v>
      </c>
      <c r="CY61">
        <f t="shared" si="81"/>
        <v>0</v>
      </c>
      <c r="CZ61">
        <f t="shared" si="82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25</v>
      </c>
      <c r="DW61" t="s">
        <v>25</v>
      </c>
      <c r="DX61">
        <v>1</v>
      </c>
      <c r="EE61">
        <v>39174504</v>
      </c>
      <c r="EF61">
        <v>2</v>
      </c>
      <c r="EG61" t="s">
        <v>13</v>
      </c>
      <c r="EH61">
        <v>0</v>
      </c>
      <c r="EI61" t="s">
        <v>3</v>
      </c>
      <c r="EJ61">
        <v>1</v>
      </c>
      <c r="EK61">
        <v>11001</v>
      </c>
      <c r="EL61" t="s">
        <v>136</v>
      </c>
      <c r="EM61" t="s">
        <v>137</v>
      </c>
      <c r="EO61" t="s">
        <v>177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3"/>
        <v>0</v>
      </c>
      <c r="FS61">
        <v>0</v>
      </c>
      <c r="FT61" t="s">
        <v>29</v>
      </c>
      <c r="FU61" t="s">
        <v>30</v>
      </c>
      <c r="FX61">
        <v>110.7</v>
      </c>
      <c r="FY61">
        <v>63.75</v>
      </c>
      <c r="GA61" t="s">
        <v>3</v>
      </c>
      <c r="GD61">
        <v>0</v>
      </c>
      <c r="GF61">
        <v>-355906858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84"/>
        <v>0</v>
      </c>
      <c r="GM61">
        <f t="shared" si="85"/>
        <v>0</v>
      </c>
      <c r="GN61">
        <f t="shared" si="86"/>
        <v>0</v>
      </c>
      <c r="GO61">
        <f t="shared" si="87"/>
        <v>0</v>
      </c>
      <c r="GP61">
        <f t="shared" si="88"/>
        <v>0</v>
      </c>
      <c r="GR61">
        <v>0</v>
      </c>
      <c r="GS61">
        <v>3</v>
      </c>
      <c r="GT61">
        <v>0</v>
      </c>
      <c r="GU61" t="s">
        <v>3</v>
      </c>
      <c r="GV61">
        <f t="shared" si="89"/>
        <v>0</v>
      </c>
      <c r="GW61">
        <v>1</v>
      </c>
      <c r="GX61">
        <f t="shared" si="90"/>
        <v>0</v>
      </c>
      <c r="HA61">
        <v>0</v>
      </c>
      <c r="HB61">
        <v>0</v>
      </c>
      <c r="IK61">
        <v>0</v>
      </c>
    </row>
    <row r="62" spans="1:245" x14ac:dyDescent="0.2">
      <c r="A62">
        <v>17</v>
      </c>
      <c r="B62">
        <v>1</v>
      </c>
      <c r="C62">
        <f>ROW(SmtRes!A152)</f>
        <v>152</v>
      </c>
      <c r="D62">
        <f>ROW(EtalonRes!A145)</f>
        <v>145</v>
      </c>
      <c r="E62" t="s">
        <v>178</v>
      </c>
      <c r="F62" t="s">
        <v>179</v>
      </c>
      <c r="G62" t="s">
        <v>180</v>
      </c>
      <c r="H62" t="s">
        <v>17</v>
      </c>
      <c r="I62">
        <f>ROUND(12.5/100,9)</f>
        <v>0.125</v>
      </c>
      <c r="J62">
        <v>0</v>
      </c>
      <c r="O62">
        <f t="shared" si="57"/>
        <v>7292.12</v>
      </c>
      <c r="P62">
        <f t="shared" si="58"/>
        <v>6021.88</v>
      </c>
      <c r="Q62">
        <f t="shared" si="59"/>
        <v>163.25</v>
      </c>
      <c r="R62">
        <f t="shared" si="60"/>
        <v>61.62</v>
      </c>
      <c r="S62">
        <f t="shared" si="61"/>
        <v>1106.99</v>
      </c>
      <c r="T62">
        <f t="shared" si="62"/>
        <v>0</v>
      </c>
      <c r="U62">
        <f t="shared" si="63"/>
        <v>20.662049999999997</v>
      </c>
      <c r="V62">
        <f t="shared" si="64"/>
        <v>0.84375</v>
      </c>
      <c r="W62">
        <f t="shared" si="65"/>
        <v>0</v>
      </c>
      <c r="X62">
        <f t="shared" si="66"/>
        <v>1297.1600000000001</v>
      </c>
      <c r="Y62">
        <f t="shared" si="67"/>
        <v>747.91</v>
      </c>
      <c r="AA62">
        <v>39476960</v>
      </c>
      <c r="AB62">
        <f t="shared" si="68"/>
        <v>9516.64</v>
      </c>
      <c r="AC62">
        <f t="shared" si="69"/>
        <v>7858.9</v>
      </c>
      <c r="AD62">
        <f>ROUND((((((ET62*1.25)*1.2))-(((EU62*1.25)*1.2)))+AE62),2)</f>
        <v>213.05</v>
      </c>
      <c r="AE62">
        <f>ROUND((((EU62*1.25)*1.2)),2)</f>
        <v>80.42</v>
      </c>
      <c r="AF62">
        <f>ROUND((((EV62*1.15)*1.2)),2)</f>
        <v>1444.69</v>
      </c>
      <c r="AG62">
        <f t="shared" si="70"/>
        <v>0</v>
      </c>
      <c r="AH62">
        <f>(((EW62*1.15)*1.2))</f>
        <v>165.29639999999998</v>
      </c>
      <c r="AI62">
        <f>(((EX62*1.25)*1.2))</f>
        <v>6.75</v>
      </c>
      <c r="AJ62">
        <f t="shared" si="71"/>
        <v>0</v>
      </c>
      <c r="AK62">
        <v>9047.81</v>
      </c>
      <c r="AL62">
        <v>7858.9</v>
      </c>
      <c r="AM62">
        <v>142.03</v>
      </c>
      <c r="AN62">
        <v>53.61</v>
      </c>
      <c r="AO62">
        <v>1046.8800000000001</v>
      </c>
      <c r="AP62">
        <v>0</v>
      </c>
      <c r="AQ62">
        <v>119.78</v>
      </c>
      <c r="AR62">
        <v>4.5</v>
      </c>
      <c r="AS62">
        <v>0</v>
      </c>
      <c r="AT62">
        <v>111</v>
      </c>
      <c r="AU62">
        <v>64</v>
      </c>
      <c r="AV62">
        <v>1</v>
      </c>
      <c r="AW62">
        <v>1</v>
      </c>
      <c r="AZ62">
        <v>6.13</v>
      </c>
      <c r="BA62">
        <v>6.13</v>
      </c>
      <c r="BB62">
        <v>6.13</v>
      </c>
      <c r="BC62">
        <v>6.13</v>
      </c>
      <c r="BD62" t="s">
        <v>3</v>
      </c>
      <c r="BE62" t="s">
        <v>3</v>
      </c>
      <c r="BF62" t="s">
        <v>3</v>
      </c>
      <c r="BG62" t="s">
        <v>3</v>
      </c>
      <c r="BH62">
        <v>0</v>
      </c>
      <c r="BI62">
        <v>1</v>
      </c>
      <c r="BJ62" t="s">
        <v>181</v>
      </c>
      <c r="BM62">
        <v>11001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6.13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123</v>
      </c>
      <c r="CA62">
        <v>75</v>
      </c>
      <c r="CF62">
        <v>0</v>
      </c>
      <c r="CG62">
        <v>0</v>
      </c>
      <c r="CM62">
        <v>0</v>
      </c>
      <c r="CN62" t="s">
        <v>1274</v>
      </c>
      <c r="CO62">
        <v>0</v>
      </c>
      <c r="CP62">
        <f t="shared" si="72"/>
        <v>7292.12</v>
      </c>
      <c r="CQ62">
        <f t="shared" si="73"/>
        <v>48175.056999999993</v>
      </c>
      <c r="CR62">
        <f t="shared" si="74"/>
        <v>1305.9965</v>
      </c>
      <c r="CS62">
        <f t="shared" si="75"/>
        <v>492.97460000000001</v>
      </c>
      <c r="CT62">
        <f t="shared" si="76"/>
        <v>8855.949700000001</v>
      </c>
      <c r="CU62">
        <f t="shared" si="77"/>
        <v>0</v>
      </c>
      <c r="CV62">
        <f t="shared" si="78"/>
        <v>165.29639999999998</v>
      </c>
      <c r="CW62">
        <f t="shared" si="79"/>
        <v>6.75</v>
      </c>
      <c r="CX62">
        <f t="shared" si="80"/>
        <v>0</v>
      </c>
      <c r="CY62">
        <f t="shared" si="81"/>
        <v>1297.1570999999999</v>
      </c>
      <c r="CZ62">
        <f t="shared" si="82"/>
        <v>747.91039999999998</v>
      </c>
      <c r="DC62" t="s">
        <v>3</v>
      </c>
      <c r="DD62" t="s">
        <v>3</v>
      </c>
      <c r="DE62" t="s">
        <v>53</v>
      </c>
      <c r="DF62" t="s">
        <v>53</v>
      </c>
      <c r="DG62" t="s">
        <v>54</v>
      </c>
      <c r="DH62" t="s">
        <v>3</v>
      </c>
      <c r="DI62" t="s">
        <v>54</v>
      </c>
      <c r="DJ62" t="s">
        <v>53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1005</v>
      </c>
      <c r="DV62" t="s">
        <v>17</v>
      </c>
      <c r="DW62" t="s">
        <v>17</v>
      </c>
      <c r="DX62">
        <v>100</v>
      </c>
      <c r="EE62">
        <v>39174504</v>
      </c>
      <c r="EF62">
        <v>2</v>
      </c>
      <c r="EG62" t="s">
        <v>13</v>
      </c>
      <c r="EH62">
        <v>0</v>
      </c>
      <c r="EI62" t="s">
        <v>3</v>
      </c>
      <c r="EJ62">
        <v>1</v>
      </c>
      <c r="EK62">
        <v>11001</v>
      </c>
      <c r="EL62" t="s">
        <v>136</v>
      </c>
      <c r="EM62" t="s">
        <v>137</v>
      </c>
      <c r="EO62" t="s">
        <v>89</v>
      </c>
      <c r="EQ62">
        <v>0</v>
      </c>
      <c r="ER62">
        <v>9047.81</v>
      </c>
      <c r="ES62">
        <v>7858.9</v>
      </c>
      <c r="ET62">
        <v>142.03</v>
      </c>
      <c r="EU62">
        <v>53.61</v>
      </c>
      <c r="EV62">
        <v>1046.8800000000001</v>
      </c>
      <c r="EW62">
        <v>119.78</v>
      </c>
      <c r="EX62">
        <v>4.5</v>
      </c>
      <c r="EY62">
        <v>0</v>
      </c>
      <c r="FQ62">
        <v>0</v>
      </c>
      <c r="FR62">
        <f t="shared" si="83"/>
        <v>0</v>
      </c>
      <c r="FS62">
        <v>0</v>
      </c>
      <c r="FT62" t="s">
        <v>29</v>
      </c>
      <c r="FU62" t="s">
        <v>30</v>
      </c>
      <c r="FX62">
        <v>110.7</v>
      </c>
      <c r="FY62">
        <v>63.75</v>
      </c>
      <c r="GA62" t="s">
        <v>3</v>
      </c>
      <c r="GD62">
        <v>0</v>
      </c>
      <c r="GF62">
        <v>-109645131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84"/>
        <v>0</v>
      </c>
      <c r="GM62">
        <f t="shared" si="85"/>
        <v>9337.19</v>
      </c>
      <c r="GN62">
        <f t="shared" si="86"/>
        <v>9337.19</v>
      </c>
      <c r="GO62">
        <f t="shared" si="87"/>
        <v>0</v>
      </c>
      <c r="GP62">
        <f t="shared" si="88"/>
        <v>0</v>
      </c>
      <c r="GR62">
        <v>0</v>
      </c>
      <c r="GS62">
        <v>3</v>
      </c>
      <c r="GT62">
        <v>0</v>
      </c>
      <c r="GU62" t="s">
        <v>3</v>
      </c>
      <c r="GV62">
        <f t="shared" si="89"/>
        <v>0</v>
      </c>
      <c r="GW62">
        <v>1</v>
      </c>
      <c r="GX62">
        <f t="shared" si="90"/>
        <v>0</v>
      </c>
      <c r="HA62">
        <v>0</v>
      </c>
      <c r="HB62">
        <v>0</v>
      </c>
      <c r="IK62">
        <v>0</v>
      </c>
    </row>
    <row r="63" spans="1:245" x14ac:dyDescent="0.2">
      <c r="A63">
        <v>17</v>
      </c>
      <c r="B63">
        <v>1</v>
      </c>
      <c r="C63">
        <f>ROW(SmtRes!A163)</f>
        <v>163</v>
      </c>
      <c r="D63">
        <f>ROW(EtalonRes!A157)</f>
        <v>157</v>
      </c>
      <c r="E63" t="s">
        <v>182</v>
      </c>
      <c r="F63" t="s">
        <v>183</v>
      </c>
      <c r="G63" t="s">
        <v>184</v>
      </c>
      <c r="H63" t="s">
        <v>17</v>
      </c>
      <c r="I63">
        <f>ROUND(6/100,9)</f>
        <v>0.06</v>
      </c>
      <c r="J63">
        <v>0</v>
      </c>
      <c r="O63">
        <f t="shared" si="57"/>
        <v>8319.61</v>
      </c>
      <c r="P63">
        <f t="shared" si="58"/>
        <v>6929.22</v>
      </c>
      <c r="Q63">
        <f t="shared" si="59"/>
        <v>13.33</v>
      </c>
      <c r="R63">
        <f t="shared" si="60"/>
        <v>9.66</v>
      </c>
      <c r="S63">
        <f t="shared" si="61"/>
        <v>1377.06</v>
      </c>
      <c r="T63">
        <f t="shared" si="62"/>
        <v>0</v>
      </c>
      <c r="U63">
        <f t="shared" si="63"/>
        <v>25.702775999999997</v>
      </c>
      <c r="V63">
        <f t="shared" si="64"/>
        <v>0.15570000000000001</v>
      </c>
      <c r="W63">
        <f t="shared" si="65"/>
        <v>0</v>
      </c>
      <c r="X63">
        <f t="shared" si="66"/>
        <v>1539.26</v>
      </c>
      <c r="Y63">
        <f t="shared" si="67"/>
        <v>887.5</v>
      </c>
      <c r="AA63">
        <v>39476960</v>
      </c>
      <c r="AB63">
        <f t="shared" si="68"/>
        <v>22619.91</v>
      </c>
      <c r="AC63">
        <f t="shared" si="69"/>
        <v>18839.64</v>
      </c>
      <c r="AD63">
        <f>ROUND((((((ET63*1.25)*1.2))-(((EU63*1.25)*1.2)))+AE63),2)</f>
        <v>36.229999999999997</v>
      </c>
      <c r="AE63">
        <f>ROUND((((EU63*1.25)*1.2)),2)</f>
        <v>26.27</v>
      </c>
      <c r="AF63">
        <f>ROUND((((EV63*1.15)*1.2)),2)</f>
        <v>3744.04</v>
      </c>
      <c r="AG63">
        <f t="shared" si="70"/>
        <v>0</v>
      </c>
      <c r="AH63">
        <f>(((EW63*1.15)*1.2))</f>
        <v>428.37959999999998</v>
      </c>
      <c r="AI63">
        <f>(((EX63*1.25)*1.2))</f>
        <v>2.5950000000000002</v>
      </c>
      <c r="AJ63">
        <f t="shared" si="71"/>
        <v>0</v>
      </c>
      <c r="AK63">
        <v>21576.86</v>
      </c>
      <c r="AL63">
        <v>18839.64</v>
      </c>
      <c r="AM63">
        <v>24.15</v>
      </c>
      <c r="AN63">
        <v>17.510000000000002</v>
      </c>
      <c r="AO63">
        <v>2713.07</v>
      </c>
      <c r="AP63">
        <v>0</v>
      </c>
      <c r="AQ63">
        <v>310.42</v>
      </c>
      <c r="AR63">
        <v>1.73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6.13</v>
      </c>
      <c r="BA63">
        <v>6.13</v>
      </c>
      <c r="BB63">
        <v>6.13</v>
      </c>
      <c r="BC63">
        <v>6.13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185</v>
      </c>
      <c r="BM63">
        <v>11001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6.13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123</v>
      </c>
      <c r="CA63">
        <v>75</v>
      </c>
      <c r="CF63">
        <v>0</v>
      </c>
      <c r="CG63">
        <v>0</v>
      </c>
      <c r="CM63">
        <v>0</v>
      </c>
      <c r="CN63" t="s">
        <v>1274</v>
      </c>
      <c r="CO63">
        <v>0</v>
      </c>
      <c r="CP63">
        <f t="shared" si="72"/>
        <v>8319.61</v>
      </c>
      <c r="CQ63">
        <f t="shared" si="73"/>
        <v>115486.9932</v>
      </c>
      <c r="CR63">
        <f t="shared" si="74"/>
        <v>222.08989999999997</v>
      </c>
      <c r="CS63">
        <f t="shared" si="75"/>
        <v>161.0351</v>
      </c>
      <c r="CT63">
        <f t="shared" si="76"/>
        <v>22950.965199999999</v>
      </c>
      <c r="CU63">
        <f t="shared" si="77"/>
        <v>0</v>
      </c>
      <c r="CV63">
        <f t="shared" si="78"/>
        <v>428.37959999999998</v>
      </c>
      <c r="CW63">
        <f t="shared" si="79"/>
        <v>2.5950000000000002</v>
      </c>
      <c r="CX63">
        <f t="shared" si="80"/>
        <v>0</v>
      </c>
      <c r="CY63">
        <f t="shared" si="81"/>
        <v>1539.2592000000002</v>
      </c>
      <c r="CZ63">
        <f t="shared" si="82"/>
        <v>887.50080000000003</v>
      </c>
      <c r="DC63" t="s">
        <v>3</v>
      </c>
      <c r="DD63" t="s">
        <v>3</v>
      </c>
      <c r="DE63" t="s">
        <v>53</v>
      </c>
      <c r="DF63" t="s">
        <v>53</v>
      </c>
      <c r="DG63" t="s">
        <v>54</v>
      </c>
      <c r="DH63" t="s">
        <v>3</v>
      </c>
      <c r="DI63" t="s">
        <v>54</v>
      </c>
      <c r="DJ63" t="s">
        <v>53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17</v>
      </c>
      <c r="DW63" t="s">
        <v>17</v>
      </c>
      <c r="DX63">
        <v>100</v>
      </c>
      <c r="EE63">
        <v>39174504</v>
      </c>
      <c r="EF63">
        <v>2</v>
      </c>
      <c r="EG63" t="s">
        <v>13</v>
      </c>
      <c r="EH63">
        <v>0</v>
      </c>
      <c r="EI63" t="s">
        <v>3</v>
      </c>
      <c r="EJ63">
        <v>1</v>
      </c>
      <c r="EK63">
        <v>11001</v>
      </c>
      <c r="EL63" t="s">
        <v>136</v>
      </c>
      <c r="EM63" t="s">
        <v>137</v>
      </c>
      <c r="EO63" t="s">
        <v>89</v>
      </c>
      <c r="EQ63">
        <v>0</v>
      </c>
      <c r="ER63">
        <v>21576.86</v>
      </c>
      <c r="ES63">
        <v>18839.64</v>
      </c>
      <c r="ET63">
        <v>24.15</v>
      </c>
      <c r="EU63">
        <v>17.510000000000002</v>
      </c>
      <c r="EV63">
        <v>2713.07</v>
      </c>
      <c r="EW63">
        <v>310.42</v>
      </c>
      <c r="EX63">
        <v>1.73</v>
      </c>
      <c r="EY63">
        <v>0</v>
      </c>
      <c r="FQ63">
        <v>0</v>
      </c>
      <c r="FR63">
        <f t="shared" si="83"/>
        <v>0</v>
      </c>
      <c r="FS63">
        <v>0</v>
      </c>
      <c r="FT63" t="s">
        <v>29</v>
      </c>
      <c r="FU63" t="s">
        <v>30</v>
      </c>
      <c r="FX63">
        <v>110.7</v>
      </c>
      <c r="FY63">
        <v>63.75</v>
      </c>
      <c r="GA63" t="s">
        <v>3</v>
      </c>
      <c r="GD63">
        <v>0</v>
      </c>
      <c r="GF63">
        <v>1016495109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84"/>
        <v>0</v>
      </c>
      <c r="GM63">
        <f t="shared" si="85"/>
        <v>10746.37</v>
      </c>
      <c r="GN63">
        <f t="shared" si="86"/>
        <v>10746.37</v>
      </c>
      <c r="GO63">
        <f t="shared" si="87"/>
        <v>0</v>
      </c>
      <c r="GP63">
        <f t="shared" si="88"/>
        <v>0</v>
      </c>
      <c r="GR63">
        <v>0</v>
      </c>
      <c r="GS63">
        <v>3</v>
      </c>
      <c r="GT63">
        <v>0</v>
      </c>
      <c r="GU63" t="s">
        <v>3</v>
      </c>
      <c r="GV63">
        <f t="shared" si="89"/>
        <v>0</v>
      </c>
      <c r="GW63">
        <v>1</v>
      </c>
      <c r="GX63">
        <f t="shared" si="90"/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161</v>
      </c>
      <c r="E64" t="s">
        <v>186</v>
      </c>
      <c r="F64" t="s">
        <v>187</v>
      </c>
      <c r="G64" t="s">
        <v>188</v>
      </c>
      <c r="H64" t="s">
        <v>61</v>
      </c>
      <c r="I64">
        <f>I63*J64</f>
        <v>-6.12</v>
      </c>
      <c r="J64">
        <v>-102</v>
      </c>
      <c r="O64">
        <f t="shared" si="57"/>
        <v>-5269.07</v>
      </c>
      <c r="P64">
        <f t="shared" si="58"/>
        <v>-5269.07</v>
      </c>
      <c r="Q64">
        <f t="shared" si="59"/>
        <v>0</v>
      </c>
      <c r="R64">
        <f t="shared" si="60"/>
        <v>0</v>
      </c>
      <c r="S64">
        <f t="shared" si="61"/>
        <v>0</v>
      </c>
      <c r="T64">
        <f t="shared" si="62"/>
        <v>0</v>
      </c>
      <c r="U64">
        <f t="shared" si="63"/>
        <v>0</v>
      </c>
      <c r="V64">
        <f t="shared" si="64"/>
        <v>0</v>
      </c>
      <c r="W64">
        <f t="shared" si="65"/>
        <v>0</v>
      </c>
      <c r="X64">
        <f t="shared" si="66"/>
        <v>0</v>
      </c>
      <c r="Y64">
        <f t="shared" si="67"/>
        <v>0</v>
      </c>
      <c r="AA64">
        <v>39476960</v>
      </c>
      <c r="AB64">
        <f t="shared" si="68"/>
        <v>140.44999999999999</v>
      </c>
      <c r="AC64">
        <f t="shared" si="69"/>
        <v>140.44999999999999</v>
      </c>
      <c r="AD64">
        <f>ROUND((((ET64)-(EU64))+AE64),2)</f>
        <v>0</v>
      </c>
      <c r="AE64">
        <f>ROUND((EU64),2)</f>
        <v>0</v>
      </c>
      <c r="AF64">
        <f>ROUND((EV64),2)</f>
        <v>0</v>
      </c>
      <c r="AG64">
        <f t="shared" si="70"/>
        <v>0</v>
      </c>
      <c r="AH64">
        <f>(EW64)</f>
        <v>0</v>
      </c>
      <c r="AI64">
        <f>(EX64)</f>
        <v>0</v>
      </c>
      <c r="AJ64">
        <f t="shared" si="71"/>
        <v>0</v>
      </c>
      <c r="AK64">
        <v>140.44999999999999</v>
      </c>
      <c r="AL64">
        <v>140.44999999999999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111</v>
      </c>
      <c r="AU64">
        <v>64</v>
      </c>
      <c r="AV64">
        <v>1</v>
      </c>
      <c r="AW64">
        <v>1</v>
      </c>
      <c r="AZ64">
        <v>6.13</v>
      </c>
      <c r="BA64">
        <v>1</v>
      </c>
      <c r="BB64">
        <v>1</v>
      </c>
      <c r="BC64">
        <v>6.13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189</v>
      </c>
      <c r="BM64">
        <v>11001</v>
      </c>
      <c r="BN64">
        <v>0</v>
      </c>
      <c r="BO64" t="s">
        <v>3</v>
      </c>
      <c r="BP64">
        <v>0</v>
      </c>
      <c r="BQ64">
        <v>2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123</v>
      </c>
      <c r="CA64">
        <v>75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2"/>
        <v>-5269.07</v>
      </c>
      <c r="CQ64">
        <f t="shared" si="73"/>
        <v>860.95849999999996</v>
      </c>
      <c r="CR64">
        <f t="shared" si="74"/>
        <v>0</v>
      </c>
      <c r="CS64">
        <f t="shared" si="75"/>
        <v>0</v>
      </c>
      <c r="CT64">
        <f t="shared" si="76"/>
        <v>0</v>
      </c>
      <c r="CU64">
        <f t="shared" si="77"/>
        <v>0</v>
      </c>
      <c r="CV64">
        <f t="shared" si="78"/>
        <v>0</v>
      </c>
      <c r="CW64">
        <f t="shared" si="79"/>
        <v>0</v>
      </c>
      <c r="CX64">
        <f t="shared" si="80"/>
        <v>0</v>
      </c>
      <c r="CY64">
        <f t="shared" si="81"/>
        <v>0</v>
      </c>
      <c r="CZ64">
        <f t="shared" si="82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61</v>
      </c>
      <c r="DW64" t="s">
        <v>61</v>
      </c>
      <c r="DX64">
        <v>1</v>
      </c>
      <c r="EE64">
        <v>39174504</v>
      </c>
      <c r="EF64">
        <v>2</v>
      </c>
      <c r="EG64" t="s">
        <v>13</v>
      </c>
      <c r="EH64">
        <v>0</v>
      </c>
      <c r="EI64" t="s">
        <v>3</v>
      </c>
      <c r="EJ64">
        <v>1</v>
      </c>
      <c r="EK64">
        <v>11001</v>
      </c>
      <c r="EL64" t="s">
        <v>136</v>
      </c>
      <c r="EM64" t="s">
        <v>137</v>
      </c>
      <c r="EO64" t="s">
        <v>3</v>
      </c>
      <c r="EQ64">
        <v>0</v>
      </c>
      <c r="ER64">
        <v>140.44999999999999</v>
      </c>
      <c r="ES64">
        <v>140.44999999999999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83"/>
        <v>0</v>
      </c>
      <c r="FS64">
        <v>0</v>
      </c>
      <c r="FT64" t="s">
        <v>29</v>
      </c>
      <c r="FU64" t="s">
        <v>30</v>
      </c>
      <c r="FX64">
        <v>110.7</v>
      </c>
      <c r="FY64">
        <v>63.75</v>
      </c>
      <c r="GA64" t="s">
        <v>3</v>
      </c>
      <c r="GD64">
        <v>0</v>
      </c>
      <c r="GF64">
        <v>2046761779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84"/>
        <v>0</v>
      </c>
      <c r="GM64">
        <f t="shared" si="85"/>
        <v>-5269.07</v>
      </c>
      <c r="GN64">
        <f t="shared" si="86"/>
        <v>-5269.07</v>
      </c>
      <c r="GO64">
        <f t="shared" si="87"/>
        <v>0</v>
      </c>
      <c r="GP64">
        <f t="shared" si="88"/>
        <v>0</v>
      </c>
      <c r="GR64">
        <v>0</v>
      </c>
      <c r="GS64">
        <v>3</v>
      </c>
      <c r="GT64">
        <v>0</v>
      </c>
      <c r="GU64" t="s">
        <v>3</v>
      </c>
      <c r="GV64">
        <f t="shared" si="89"/>
        <v>0</v>
      </c>
      <c r="GW64">
        <v>1</v>
      </c>
      <c r="GX64">
        <f t="shared" si="90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162</v>
      </c>
      <c r="E65" t="s">
        <v>190</v>
      </c>
      <c r="F65" t="s">
        <v>191</v>
      </c>
      <c r="G65" t="s">
        <v>192</v>
      </c>
      <c r="H65" t="s">
        <v>61</v>
      </c>
      <c r="I65">
        <f>I63*J65</f>
        <v>6.12</v>
      </c>
      <c r="J65">
        <v>102</v>
      </c>
      <c r="O65">
        <f t="shared" si="57"/>
        <v>2129.7600000000002</v>
      </c>
      <c r="P65">
        <f t="shared" si="58"/>
        <v>2129.7600000000002</v>
      </c>
      <c r="Q65">
        <f t="shared" si="59"/>
        <v>0</v>
      </c>
      <c r="R65">
        <f t="shared" si="60"/>
        <v>0</v>
      </c>
      <c r="S65">
        <f t="shared" si="61"/>
        <v>0</v>
      </c>
      <c r="T65">
        <f t="shared" si="62"/>
        <v>0</v>
      </c>
      <c r="U65">
        <f t="shared" si="63"/>
        <v>0</v>
      </c>
      <c r="V65">
        <f t="shared" si="64"/>
        <v>0</v>
      </c>
      <c r="W65">
        <f t="shared" si="65"/>
        <v>0</v>
      </c>
      <c r="X65">
        <f t="shared" si="66"/>
        <v>0</v>
      </c>
      <c r="Y65">
        <f t="shared" si="67"/>
        <v>0</v>
      </c>
      <c r="AA65">
        <v>39476960</v>
      </c>
      <c r="AB65">
        <f t="shared" si="68"/>
        <v>56.77</v>
      </c>
      <c r="AC65">
        <f t="shared" si="69"/>
        <v>56.77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70"/>
        <v>0</v>
      </c>
      <c r="AH65">
        <f>(EW65)</f>
        <v>0</v>
      </c>
      <c r="AI65">
        <f>(EX65)</f>
        <v>0</v>
      </c>
      <c r="AJ65">
        <f t="shared" si="71"/>
        <v>0</v>
      </c>
      <c r="AK65">
        <v>56.77</v>
      </c>
      <c r="AL65">
        <v>56.77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6.13</v>
      </c>
      <c r="BA65">
        <v>1</v>
      </c>
      <c r="BB65">
        <v>1</v>
      </c>
      <c r="BC65">
        <v>6.13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193</v>
      </c>
      <c r="BM65">
        <v>11001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2"/>
        <v>2129.7600000000002</v>
      </c>
      <c r="CQ65">
        <f t="shared" si="73"/>
        <v>348.00010000000003</v>
      </c>
      <c r="CR65">
        <f t="shared" si="74"/>
        <v>0</v>
      </c>
      <c r="CS65">
        <f t="shared" si="75"/>
        <v>0</v>
      </c>
      <c r="CT65">
        <f t="shared" si="76"/>
        <v>0</v>
      </c>
      <c r="CU65">
        <f t="shared" si="77"/>
        <v>0</v>
      </c>
      <c r="CV65">
        <f t="shared" si="78"/>
        <v>0</v>
      </c>
      <c r="CW65">
        <f t="shared" si="79"/>
        <v>0</v>
      </c>
      <c r="CX65">
        <f t="shared" si="80"/>
        <v>0</v>
      </c>
      <c r="CY65">
        <f t="shared" si="81"/>
        <v>0</v>
      </c>
      <c r="CZ65">
        <f t="shared" si="82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61</v>
      </c>
      <c r="DW65" t="s">
        <v>61</v>
      </c>
      <c r="DX65">
        <v>1</v>
      </c>
      <c r="EE65">
        <v>39174504</v>
      </c>
      <c r="EF65">
        <v>2</v>
      </c>
      <c r="EG65" t="s">
        <v>13</v>
      </c>
      <c r="EH65">
        <v>0</v>
      </c>
      <c r="EI65" t="s">
        <v>3</v>
      </c>
      <c r="EJ65">
        <v>1</v>
      </c>
      <c r="EK65">
        <v>11001</v>
      </c>
      <c r="EL65" t="s">
        <v>136</v>
      </c>
      <c r="EM65" t="s">
        <v>137</v>
      </c>
      <c r="EO65" t="s">
        <v>3</v>
      </c>
      <c r="EQ65">
        <v>0</v>
      </c>
      <c r="ER65">
        <v>56.77</v>
      </c>
      <c r="ES65">
        <v>56.77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3"/>
        <v>0</v>
      </c>
      <c r="FS65">
        <v>0</v>
      </c>
      <c r="FT65" t="s">
        <v>29</v>
      </c>
      <c r="FU65" t="s">
        <v>30</v>
      </c>
      <c r="FX65">
        <v>110.7</v>
      </c>
      <c r="FY65">
        <v>63.75</v>
      </c>
      <c r="GA65" t="s">
        <v>3</v>
      </c>
      <c r="GD65">
        <v>0</v>
      </c>
      <c r="GF65">
        <v>-1419244649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84"/>
        <v>0</v>
      </c>
      <c r="GM65">
        <f t="shared" si="85"/>
        <v>2129.7600000000002</v>
      </c>
      <c r="GN65">
        <f t="shared" si="86"/>
        <v>2129.7600000000002</v>
      </c>
      <c r="GO65">
        <f t="shared" si="87"/>
        <v>0</v>
      </c>
      <c r="GP65">
        <f t="shared" si="88"/>
        <v>0</v>
      </c>
      <c r="GR65">
        <v>0</v>
      </c>
      <c r="GS65">
        <v>3</v>
      </c>
      <c r="GT65">
        <v>0</v>
      </c>
      <c r="GU65" t="s">
        <v>3</v>
      </c>
      <c r="GV65">
        <f t="shared" si="89"/>
        <v>0</v>
      </c>
      <c r="GW65">
        <v>1</v>
      </c>
      <c r="GX65">
        <f t="shared" si="90"/>
        <v>0</v>
      </c>
      <c r="HA65">
        <v>0</v>
      </c>
      <c r="HB65">
        <v>0</v>
      </c>
      <c r="IK65">
        <v>0</v>
      </c>
    </row>
    <row r="66" spans="1:245" x14ac:dyDescent="0.2">
      <c r="A66">
        <v>17</v>
      </c>
      <c r="B66">
        <v>1</v>
      </c>
      <c r="C66">
        <f>ROW(SmtRes!A183)</f>
        <v>183</v>
      </c>
      <c r="D66">
        <f>ROW(EtalonRes!A172)</f>
        <v>172</v>
      </c>
      <c r="E66" t="s">
        <v>194</v>
      </c>
      <c r="F66" t="s">
        <v>195</v>
      </c>
      <c r="G66" t="s">
        <v>196</v>
      </c>
      <c r="H66" t="s">
        <v>17</v>
      </c>
      <c r="I66">
        <f>ROUND(232.5/100,9)</f>
        <v>2.3250000000000002</v>
      </c>
      <c r="J66">
        <v>0</v>
      </c>
      <c r="O66">
        <f t="shared" si="57"/>
        <v>11020.55</v>
      </c>
      <c r="P66">
        <f t="shared" si="58"/>
        <v>824.49</v>
      </c>
      <c r="Q66">
        <f t="shared" si="59"/>
        <v>1141.32</v>
      </c>
      <c r="R66">
        <f t="shared" si="60"/>
        <v>220.48</v>
      </c>
      <c r="S66">
        <f t="shared" si="61"/>
        <v>9054.74</v>
      </c>
      <c r="T66">
        <f t="shared" si="62"/>
        <v>0</v>
      </c>
      <c r="U66">
        <f t="shared" si="63"/>
        <v>160.90627499999999</v>
      </c>
      <c r="V66">
        <f t="shared" si="64"/>
        <v>3.034125</v>
      </c>
      <c r="W66">
        <f t="shared" si="65"/>
        <v>0</v>
      </c>
      <c r="X66">
        <f t="shared" si="66"/>
        <v>8811.4599999999991</v>
      </c>
      <c r="Y66">
        <f t="shared" si="67"/>
        <v>4359.3500000000004</v>
      </c>
      <c r="AA66">
        <v>39476960</v>
      </c>
      <c r="AB66">
        <f t="shared" si="68"/>
        <v>773.25</v>
      </c>
      <c r="AC66">
        <f t="shared" si="69"/>
        <v>57.85</v>
      </c>
      <c r="AD66">
        <f>ROUND((((((ET66*1.25)*1.2))-(((EU66*1.25)*1.2)))+AE66),2)</f>
        <v>80.08</v>
      </c>
      <c r="AE66">
        <f>ROUND((((EU66*1.25)*1.2)),2)</f>
        <v>15.47</v>
      </c>
      <c r="AF66">
        <f>ROUND((((EV66*1.15)*1.2)),2)</f>
        <v>635.32000000000005</v>
      </c>
      <c r="AG66">
        <f t="shared" si="70"/>
        <v>0</v>
      </c>
      <c r="AH66">
        <f>(((EW66*1.15)*1.2))</f>
        <v>69.206999999999994</v>
      </c>
      <c r="AI66">
        <f>(((EX66*1.25)*1.2))</f>
        <v>1.3049999999999999</v>
      </c>
      <c r="AJ66">
        <f t="shared" si="71"/>
        <v>0</v>
      </c>
      <c r="AK66">
        <v>571.61</v>
      </c>
      <c r="AL66">
        <v>57.85</v>
      </c>
      <c r="AM66">
        <v>53.38</v>
      </c>
      <c r="AN66">
        <v>10.31</v>
      </c>
      <c r="AO66">
        <v>460.38</v>
      </c>
      <c r="AP66">
        <v>0</v>
      </c>
      <c r="AQ66">
        <v>50.15</v>
      </c>
      <c r="AR66">
        <v>0.87</v>
      </c>
      <c r="AS66">
        <v>0</v>
      </c>
      <c r="AT66">
        <v>95</v>
      </c>
      <c r="AU66">
        <v>47</v>
      </c>
      <c r="AV66">
        <v>1</v>
      </c>
      <c r="AW66">
        <v>1</v>
      </c>
      <c r="AZ66">
        <v>6.13</v>
      </c>
      <c r="BA66">
        <v>6.13</v>
      </c>
      <c r="BB66">
        <v>6.13</v>
      </c>
      <c r="BC66">
        <v>6.13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197</v>
      </c>
      <c r="BM66">
        <v>15001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6.13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105</v>
      </c>
      <c r="CA66">
        <v>55</v>
      </c>
      <c r="CF66">
        <v>0</v>
      </c>
      <c r="CG66">
        <v>0</v>
      </c>
      <c r="CM66">
        <v>0</v>
      </c>
      <c r="CN66" t="s">
        <v>1274</v>
      </c>
      <c r="CO66">
        <v>0</v>
      </c>
      <c r="CP66">
        <f t="shared" si="72"/>
        <v>11020.55</v>
      </c>
      <c r="CQ66">
        <f t="shared" si="73"/>
        <v>354.62049999999999</v>
      </c>
      <c r="CR66">
        <f t="shared" si="74"/>
        <v>490.8904</v>
      </c>
      <c r="CS66">
        <f t="shared" si="75"/>
        <v>94.831100000000006</v>
      </c>
      <c r="CT66">
        <f t="shared" si="76"/>
        <v>3894.5116000000003</v>
      </c>
      <c r="CU66">
        <f t="shared" si="77"/>
        <v>0</v>
      </c>
      <c r="CV66">
        <f t="shared" si="78"/>
        <v>69.206999999999994</v>
      </c>
      <c r="CW66">
        <f t="shared" si="79"/>
        <v>1.3049999999999999</v>
      </c>
      <c r="CX66">
        <f t="shared" si="80"/>
        <v>0</v>
      </c>
      <c r="CY66">
        <f t="shared" si="81"/>
        <v>8811.4589999999989</v>
      </c>
      <c r="CZ66">
        <f t="shared" si="82"/>
        <v>4359.3534</v>
      </c>
      <c r="DC66" t="s">
        <v>3</v>
      </c>
      <c r="DD66" t="s">
        <v>3</v>
      </c>
      <c r="DE66" t="s">
        <v>53</v>
      </c>
      <c r="DF66" t="s">
        <v>53</v>
      </c>
      <c r="DG66" t="s">
        <v>54</v>
      </c>
      <c r="DH66" t="s">
        <v>3</v>
      </c>
      <c r="DI66" t="s">
        <v>54</v>
      </c>
      <c r="DJ66" t="s">
        <v>53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17</v>
      </c>
      <c r="DW66" t="s">
        <v>17</v>
      </c>
      <c r="DX66">
        <v>100</v>
      </c>
      <c r="EE66">
        <v>39174529</v>
      </c>
      <c r="EF66">
        <v>2</v>
      </c>
      <c r="EG66" t="s">
        <v>13</v>
      </c>
      <c r="EH66">
        <v>0</v>
      </c>
      <c r="EI66" t="s">
        <v>3</v>
      </c>
      <c r="EJ66">
        <v>1</v>
      </c>
      <c r="EK66">
        <v>15001</v>
      </c>
      <c r="EL66" t="s">
        <v>123</v>
      </c>
      <c r="EM66" t="s">
        <v>124</v>
      </c>
      <c r="EO66" t="s">
        <v>89</v>
      </c>
      <c r="EQ66">
        <v>0</v>
      </c>
      <c r="ER66">
        <v>571.61</v>
      </c>
      <c r="ES66">
        <v>57.85</v>
      </c>
      <c r="ET66">
        <v>53.38</v>
      </c>
      <c r="EU66">
        <v>10.31</v>
      </c>
      <c r="EV66">
        <v>460.38</v>
      </c>
      <c r="EW66">
        <v>50.15</v>
      </c>
      <c r="EX66">
        <v>0.87</v>
      </c>
      <c r="EY66">
        <v>0</v>
      </c>
      <c r="FQ66">
        <v>0</v>
      </c>
      <c r="FR66">
        <f t="shared" si="83"/>
        <v>0</v>
      </c>
      <c r="FS66">
        <v>0</v>
      </c>
      <c r="FT66" t="s">
        <v>29</v>
      </c>
      <c r="FU66" t="s">
        <v>30</v>
      </c>
      <c r="FX66">
        <v>94.5</v>
      </c>
      <c r="FY66">
        <v>46.75</v>
      </c>
      <c r="GA66" t="s">
        <v>3</v>
      </c>
      <c r="GD66">
        <v>0</v>
      </c>
      <c r="GF66">
        <v>1031282798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84"/>
        <v>0</v>
      </c>
      <c r="GM66">
        <f t="shared" si="85"/>
        <v>24191.360000000001</v>
      </c>
      <c r="GN66">
        <f t="shared" si="86"/>
        <v>24191.360000000001</v>
      </c>
      <c r="GO66">
        <f t="shared" si="87"/>
        <v>0</v>
      </c>
      <c r="GP66">
        <f t="shared" si="88"/>
        <v>0</v>
      </c>
      <c r="GR66">
        <v>0</v>
      </c>
      <c r="GS66">
        <v>3</v>
      </c>
      <c r="GT66">
        <v>0</v>
      </c>
      <c r="GU66" t="s">
        <v>3</v>
      </c>
      <c r="GV66">
        <f t="shared" si="89"/>
        <v>0</v>
      </c>
      <c r="GW66">
        <v>1</v>
      </c>
      <c r="GX66">
        <f t="shared" si="90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176</v>
      </c>
      <c r="E67" t="s">
        <v>198</v>
      </c>
      <c r="F67" t="s">
        <v>199</v>
      </c>
      <c r="G67" t="s">
        <v>200</v>
      </c>
      <c r="H67" t="s">
        <v>61</v>
      </c>
      <c r="I67">
        <f>I66*J67</f>
        <v>235.755</v>
      </c>
      <c r="J67">
        <v>101.39999999999999</v>
      </c>
      <c r="O67">
        <f t="shared" si="57"/>
        <v>89716.66</v>
      </c>
      <c r="P67">
        <f t="shared" si="58"/>
        <v>89716.66</v>
      </c>
      <c r="Q67">
        <f t="shared" si="59"/>
        <v>0</v>
      </c>
      <c r="R67">
        <f t="shared" si="60"/>
        <v>0</v>
      </c>
      <c r="S67">
        <f t="shared" si="61"/>
        <v>0</v>
      </c>
      <c r="T67">
        <f t="shared" si="62"/>
        <v>0</v>
      </c>
      <c r="U67">
        <f t="shared" si="63"/>
        <v>0</v>
      </c>
      <c r="V67">
        <f t="shared" si="64"/>
        <v>0</v>
      </c>
      <c r="W67">
        <f t="shared" si="65"/>
        <v>0</v>
      </c>
      <c r="X67">
        <f t="shared" si="66"/>
        <v>0</v>
      </c>
      <c r="Y67">
        <f t="shared" si="67"/>
        <v>0</v>
      </c>
      <c r="AA67">
        <v>39476960</v>
      </c>
      <c r="AB67">
        <f t="shared" si="68"/>
        <v>62.08</v>
      </c>
      <c r="AC67">
        <f t="shared" si="69"/>
        <v>62.08</v>
      </c>
      <c r="AD67">
        <f t="shared" ref="AD67:AD76" si="91">ROUND((((ET67)-(EU67))+AE67),2)</f>
        <v>0</v>
      </c>
      <c r="AE67">
        <f t="shared" ref="AE67:AE76" si="92">ROUND((EU67),2)</f>
        <v>0</v>
      </c>
      <c r="AF67">
        <f t="shared" ref="AF67:AF76" si="93">ROUND((EV67),2)</f>
        <v>0</v>
      </c>
      <c r="AG67">
        <f t="shared" si="70"/>
        <v>0</v>
      </c>
      <c r="AH67">
        <f t="shared" ref="AH67:AH76" si="94">(EW67)</f>
        <v>0</v>
      </c>
      <c r="AI67">
        <f t="shared" ref="AI67:AI76" si="95">(EX67)</f>
        <v>0</v>
      </c>
      <c r="AJ67">
        <f t="shared" si="71"/>
        <v>0</v>
      </c>
      <c r="AK67">
        <v>62.08</v>
      </c>
      <c r="AL67">
        <v>62.08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6.13</v>
      </c>
      <c r="BA67">
        <v>1</v>
      </c>
      <c r="BB67">
        <v>1</v>
      </c>
      <c r="BC67">
        <v>6.13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201</v>
      </c>
      <c r="BM67">
        <v>15001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2"/>
        <v>89716.66</v>
      </c>
      <c r="CQ67">
        <f t="shared" si="73"/>
        <v>380.55039999999997</v>
      </c>
      <c r="CR67">
        <f t="shared" si="74"/>
        <v>0</v>
      </c>
      <c r="CS67">
        <f t="shared" si="75"/>
        <v>0</v>
      </c>
      <c r="CT67">
        <f t="shared" si="76"/>
        <v>0</v>
      </c>
      <c r="CU67">
        <f t="shared" si="77"/>
        <v>0</v>
      </c>
      <c r="CV67">
        <f t="shared" si="78"/>
        <v>0</v>
      </c>
      <c r="CW67">
        <f t="shared" si="79"/>
        <v>0</v>
      </c>
      <c r="CX67">
        <f t="shared" si="80"/>
        <v>0</v>
      </c>
      <c r="CY67">
        <f t="shared" si="81"/>
        <v>0</v>
      </c>
      <c r="CZ67">
        <f t="shared" si="82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61</v>
      </c>
      <c r="DW67" t="s">
        <v>61</v>
      </c>
      <c r="DX67">
        <v>1</v>
      </c>
      <c r="EE67">
        <v>39174529</v>
      </c>
      <c r="EF67">
        <v>2</v>
      </c>
      <c r="EG67" t="s">
        <v>13</v>
      </c>
      <c r="EH67">
        <v>0</v>
      </c>
      <c r="EI67" t="s">
        <v>3</v>
      </c>
      <c r="EJ67">
        <v>1</v>
      </c>
      <c r="EK67">
        <v>15001</v>
      </c>
      <c r="EL67" t="s">
        <v>123</v>
      </c>
      <c r="EM67" t="s">
        <v>124</v>
      </c>
      <c r="EO67" t="s">
        <v>3</v>
      </c>
      <c r="EQ67">
        <v>0</v>
      </c>
      <c r="ER67">
        <v>62.08</v>
      </c>
      <c r="ES67">
        <v>62.08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3"/>
        <v>0</v>
      </c>
      <c r="FS67">
        <v>0</v>
      </c>
      <c r="FT67" t="s">
        <v>29</v>
      </c>
      <c r="FU67" t="s">
        <v>30</v>
      </c>
      <c r="FX67">
        <v>94.5</v>
      </c>
      <c r="FY67">
        <v>46.75</v>
      </c>
      <c r="GA67" t="s">
        <v>3</v>
      </c>
      <c r="GD67">
        <v>0</v>
      </c>
      <c r="GF67">
        <v>238179070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84"/>
        <v>0</v>
      </c>
      <c r="GM67">
        <f t="shared" si="85"/>
        <v>89716.66</v>
      </c>
      <c r="GN67">
        <f t="shared" si="86"/>
        <v>89716.66</v>
      </c>
      <c r="GO67">
        <f t="shared" si="87"/>
        <v>0</v>
      </c>
      <c r="GP67">
        <f t="shared" si="88"/>
        <v>0</v>
      </c>
      <c r="GR67">
        <v>0</v>
      </c>
      <c r="GS67">
        <v>3</v>
      </c>
      <c r="GT67">
        <v>0</v>
      </c>
      <c r="GU67" t="s">
        <v>3</v>
      </c>
      <c r="GV67">
        <f t="shared" si="89"/>
        <v>0</v>
      </c>
      <c r="GW67">
        <v>1</v>
      </c>
      <c r="GX67">
        <f t="shared" si="90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175</v>
      </c>
      <c r="E68" t="s">
        <v>202</v>
      </c>
      <c r="F68" t="s">
        <v>203</v>
      </c>
      <c r="G68" t="s">
        <v>204</v>
      </c>
      <c r="H68" t="s">
        <v>25</v>
      </c>
      <c r="I68">
        <f>I66*J68</f>
        <v>6.9750000000000006E-2</v>
      </c>
      <c r="J68">
        <v>0.03</v>
      </c>
      <c r="O68">
        <f t="shared" si="57"/>
        <v>1068.92</v>
      </c>
      <c r="P68">
        <f t="shared" si="58"/>
        <v>1068.92</v>
      </c>
      <c r="Q68">
        <f t="shared" si="59"/>
        <v>0</v>
      </c>
      <c r="R68">
        <f t="shared" si="60"/>
        <v>0</v>
      </c>
      <c r="S68">
        <f t="shared" si="61"/>
        <v>0</v>
      </c>
      <c r="T68">
        <f t="shared" si="62"/>
        <v>0</v>
      </c>
      <c r="U68">
        <f t="shared" si="63"/>
        <v>0</v>
      </c>
      <c r="V68">
        <f t="shared" si="64"/>
        <v>0</v>
      </c>
      <c r="W68">
        <f t="shared" si="65"/>
        <v>0</v>
      </c>
      <c r="X68">
        <f t="shared" si="66"/>
        <v>0</v>
      </c>
      <c r="Y68">
        <f t="shared" si="67"/>
        <v>0</v>
      </c>
      <c r="AA68">
        <v>39476960</v>
      </c>
      <c r="AB68">
        <f t="shared" si="68"/>
        <v>2500</v>
      </c>
      <c r="AC68">
        <f t="shared" si="69"/>
        <v>2500</v>
      </c>
      <c r="AD68">
        <f t="shared" si="91"/>
        <v>0</v>
      </c>
      <c r="AE68">
        <f t="shared" si="92"/>
        <v>0</v>
      </c>
      <c r="AF68">
        <f t="shared" si="93"/>
        <v>0</v>
      </c>
      <c r="AG68">
        <f t="shared" si="70"/>
        <v>0</v>
      </c>
      <c r="AH68">
        <f t="shared" si="94"/>
        <v>0</v>
      </c>
      <c r="AI68">
        <f t="shared" si="95"/>
        <v>0</v>
      </c>
      <c r="AJ68">
        <f t="shared" si="71"/>
        <v>0</v>
      </c>
      <c r="AK68">
        <v>2500</v>
      </c>
      <c r="AL68">
        <v>2500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47</v>
      </c>
      <c r="AV68">
        <v>1</v>
      </c>
      <c r="AW68">
        <v>1</v>
      </c>
      <c r="AZ68">
        <v>6.13</v>
      </c>
      <c r="BA68">
        <v>1</v>
      </c>
      <c r="BB68">
        <v>1</v>
      </c>
      <c r="BC68">
        <v>6.13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205</v>
      </c>
      <c r="BM68">
        <v>15001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105</v>
      </c>
      <c r="CA68">
        <v>55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2"/>
        <v>1068.92</v>
      </c>
      <c r="CQ68">
        <f t="shared" si="73"/>
        <v>15325</v>
      </c>
      <c r="CR68">
        <f t="shared" si="74"/>
        <v>0</v>
      </c>
      <c r="CS68">
        <f t="shared" si="75"/>
        <v>0</v>
      </c>
      <c r="CT68">
        <f t="shared" si="76"/>
        <v>0</v>
      </c>
      <c r="CU68">
        <f t="shared" si="77"/>
        <v>0</v>
      </c>
      <c r="CV68">
        <f t="shared" si="78"/>
        <v>0</v>
      </c>
      <c r="CW68">
        <f t="shared" si="79"/>
        <v>0</v>
      </c>
      <c r="CX68">
        <f t="shared" si="80"/>
        <v>0</v>
      </c>
      <c r="CY68">
        <f t="shared" si="81"/>
        <v>0</v>
      </c>
      <c r="CZ68">
        <f t="shared" si="82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1007</v>
      </c>
      <c r="DV68" t="s">
        <v>25</v>
      </c>
      <c r="DW68" t="s">
        <v>25</v>
      </c>
      <c r="DX68">
        <v>1</v>
      </c>
      <c r="EE68">
        <v>39174529</v>
      </c>
      <c r="EF68">
        <v>2</v>
      </c>
      <c r="EG68" t="s">
        <v>13</v>
      </c>
      <c r="EH68">
        <v>0</v>
      </c>
      <c r="EI68" t="s">
        <v>3</v>
      </c>
      <c r="EJ68">
        <v>1</v>
      </c>
      <c r="EK68">
        <v>15001</v>
      </c>
      <c r="EL68" t="s">
        <v>123</v>
      </c>
      <c r="EM68" t="s">
        <v>124</v>
      </c>
      <c r="EO68" t="s">
        <v>3</v>
      </c>
      <c r="EQ68">
        <v>0</v>
      </c>
      <c r="ER68">
        <v>2500</v>
      </c>
      <c r="ES68">
        <v>2500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83"/>
        <v>0</v>
      </c>
      <c r="FS68">
        <v>0</v>
      </c>
      <c r="FT68" t="s">
        <v>29</v>
      </c>
      <c r="FU68" t="s">
        <v>30</v>
      </c>
      <c r="FX68">
        <v>94.5</v>
      </c>
      <c r="FY68">
        <v>46.75</v>
      </c>
      <c r="GA68" t="s">
        <v>3</v>
      </c>
      <c r="GD68">
        <v>0</v>
      </c>
      <c r="GF68">
        <v>1578786384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84"/>
        <v>0</v>
      </c>
      <c r="GM68">
        <f t="shared" si="85"/>
        <v>1068.92</v>
      </c>
      <c r="GN68">
        <f t="shared" si="86"/>
        <v>1068.92</v>
      </c>
      <c r="GO68">
        <f t="shared" si="87"/>
        <v>0</v>
      </c>
      <c r="GP68">
        <f t="shared" si="88"/>
        <v>0</v>
      </c>
      <c r="GR68">
        <v>0</v>
      </c>
      <c r="GS68">
        <v>3</v>
      </c>
      <c r="GT68">
        <v>0</v>
      </c>
      <c r="GU68" t="s">
        <v>3</v>
      </c>
      <c r="GV68">
        <f t="shared" si="89"/>
        <v>0</v>
      </c>
      <c r="GW68">
        <v>1</v>
      </c>
      <c r="GX68">
        <f t="shared" si="90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179</v>
      </c>
      <c r="E69" t="s">
        <v>206</v>
      </c>
      <c r="F69" t="s">
        <v>207</v>
      </c>
      <c r="G69" t="s">
        <v>208</v>
      </c>
      <c r="H69" t="s">
        <v>74</v>
      </c>
      <c r="I69">
        <f>I66*J69</f>
        <v>93.93</v>
      </c>
      <c r="J69">
        <v>40.4</v>
      </c>
      <c r="O69">
        <f t="shared" si="57"/>
        <v>3051.69</v>
      </c>
      <c r="P69">
        <f t="shared" si="58"/>
        <v>3051.69</v>
      </c>
      <c r="Q69">
        <f t="shared" si="59"/>
        <v>0</v>
      </c>
      <c r="R69">
        <f t="shared" si="60"/>
        <v>0</v>
      </c>
      <c r="S69">
        <f t="shared" si="61"/>
        <v>0</v>
      </c>
      <c r="T69">
        <f t="shared" si="62"/>
        <v>0</v>
      </c>
      <c r="U69">
        <f t="shared" si="63"/>
        <v>0</v>
      </c>
      <c r="V69">
        <f t="shared" si="64"/>
        <v>0</v>
      </c>
      <c r="W69">
        <f t="shared" si="65"/>
        <v>0</v>
      </c>
      <c r="X69">
        <f t="shared" si="66"/>
        <v>0</v>
      </c>
      <c r="Y69">
        <f t="shared" si="67"/>
        <v>0</v>
      </c>
      <c r="AA69">
        <v>39476960</v>
      </c>
      <c r="AB69">
        <f t="shared" si="68"/>
        <v>5.3</v>
      </c>
      <c r="AC69">
        <f t="shared" si="69"/>
        <v>5.3</v>
      </c>
      <c r="AD69">
        <f t="shared" si="91"/>
        <v>0</v>
      </c>
      <c r="AE69">
        <f t="shared" si="92"/>
        <v>0</v>
      </c>
      <c r="AF69">
        <f t="shared" si="93"/>
        <v>0</v>
      </c>
      <c r="AG69">
        <f t="shared" si="70"/>
        <v>0</v>
      </c>
      <c r="AH69">
        <f t="shared" si="94"/>
        <v>0</v>
      </c>
      <c r="AI69">
        <f t="shared" si="95"/>
        <v>0</v>
      </c>
      <c r="AJ69">
        <f t="shared" si="71"/>
        <v>0</v>
      </c>
      <c r="AK69">
        <v>5.3</v>
      </c>
      <c r="AL69">
        <v>5.3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6.13</v>
      </c>
      <c r="BA69">
        <v>1</v>
      </c>
      <c r="BB69">
        <v>1</v>
      </c>
      <c r="BC69">
        <v>6.13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209</v>
      </c>
      <c r="BM69">
        <v>15001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2"/>
        <v>3051.69</v>
      </c>
      <c r="CQ69">
        <f t="shared" si="73"/>
        <v>32.488999999999997</v>
      </c>
      <c r="CR69">
        <f t="shared" si="74"/>
        <v>0</v>
      </c>
      <c r="CS69">
        <f t="shared" si="75"/>
        <v>0</v>
      </c>
      <c r="CT69">
        <f t="shared" si="76"/>
        <v>0</v>
      </c>
      <c r="CU69">
        <f t="shared" si="77"/>
        <v>0</v>
      </c>
      <c r="CV69">
        <f t="shared" si="78"/>
        <v>0</v>
      </c>
      <c r="CW69">
        <f t="shared" si="79"/>
        <v>0</v>
      </c>
      <c r="CX69">
        <f t="shared" si="80"/>
        <v>0</v>
      </c>
      <c r="CY69">
        <f t="shared" si="81"/>
        <v>0</v>
      </c>
      <c r="CZ69">
        <f t="shared" si="82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74</v>
      </c>
      <c r="DW69" t="s">
        <v>74</v>
      </c>
      <c r="DX69">
        <v>1</v>
      </c>
      <c r="EE69">
        <v>39174529</v>
      </c>
      <c r="EF69">
        <v>2</v>
      </c>
      <c r="EG69" t="s">
        <v>13</v>
      </c>
      <c r="EH69">
        <v>0</v>
      </c>
      <c r="EI69" t="s">
        <v>3</v>
      </c>
      <c r="EJ69">
        <v>1</v>
      </c>
      <c r="EK69">
        <v>15001</v>
      </c>
      <c r="EL69" t="s">
        <v>123</v>
      </c>
      <c r="EM69" t="s">
        <v>124</v>
      </c>
      <c r="EO69" t="s">
        <v>3</v>
      </c>
      <c r="EQ69">
        <v>0</v>
      </c>
      <c r="ER69">
        <v>5.3</v>
      </c>
      <c r="ES69">
        <v>5.3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3"/>
        <v>0</v>
      </c>
      <c r="FS69">
        <v>0</v>
      </c>
      <c r="FT69" t="s">
        <v>29</v>
      </c>
      <c r="FU69" t="s">
        <v>30</v>
      </c>
      <c r="FX69">
        <v>94.5</v>
      </c>
      <c r="FY69">
        <v>46.75</v>
      </c>
      <c r="GA69" t="s">
        <v>3</v>
      </c>
      <c r="GD69">
        <v>0</v>
      </c>
      <c r="GF69">
        <v>-818904785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84"/>
        <v>0</v>
      </c>
      <c r="GM69">
        <f t="shared" si="85"/>
        <v>3051.69</v>
      </c>
      <c r="GN69">
        <f t="shared" si="86"/>
        <v>3051.69</v>
      </c>
      <c r="GO69">
        <f t="shared" si="87"/>
        <v>0</v>
      </c>
      <c r="GP69">
        <f t="shared" si="88"/>
        <v>0</v>
      </c>
      <c r="GR69">
        <v>0</v>
      </c>
      <c r="GS69">
        <v>3</v>
      </c>
      <c r="GT69">
        <v>0</v>
      </c>
      <c r="GU69" t="s">
        <v>3</v>
      </c>
      <c r="GV69">
        <f t="shared" si="89"/>
        <v>0</v>
      </c>
      <c r="GW69">
        <v>1</v>
      </c>
      <c r="GX69">
        <f t="shared" si="90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180</v>
      </c>
      <c r="E70" t="s">
        <v>210</v>
      </c>
      <c r="F70" t="s">
        <v>211</v>
      </c>
      <c r="G70" t="s">
        <v>212</v>
      </c>
      <c r="H70" t="s">
        <v>74</v>
      </c>
      <c r="I70">
        <f>I66*J70</f>
        <v>205.08799999999999</v>
      </c>
      <c r="J70">
        <v>88.209892473118273</v>
      </c>
      <c r="O70">
        <f t="shared" si="57"/>
        <v>6663.1</v>
      </c>
      <c r="P70">
        <f t="shared" si="58"/>
        <v>6663.1</v>
      </c>
      <c r="Q70">
        <f t="shared" si="59"/>
        <v>0</v>
      </c>
      <c r="R70">
        <f t="shared" si="60"/>
        <v>0</v>
      </c>
      <c r="S70">
        <f t="shared" si="61"/>
        <v>0</v>
      </c>
      <c r="T70">
        <f t="shared" si="62"/>
        <v>0</v>
      </c>
      <c r="U70">
        <f t="shared" si="63"/>
        <v>0</v>
      </c>
      <c r="V70">
        <f t="shared" si="64"/>
        <v>0</v>
      </c>
      <c r="W70">
        <f t="shared" si="65"/>
        <v>0</v>
      </c>
      <c r="X70">
        <f t="shared" si="66"/>
        <v>0</v>
      </c>
      <c r="Y70">
        <f t="shared" si="67"/>
        <v>0</v>
      </c>
      <c r="AA70">
        <v>39476960</v>
      </c>
      <c r="AB70">
        <f t="shared" si="68"/>
        <v>5.3</v>
      </c>
      <c r="AC70">
        <f t="shared" si="69"/>
        <v>5.3</v>
      </c>
      <c r="AD70">
        <f t="shared" si="91"/>
        <v>0</v>
      </c>
      <c r="AE70">
        <f t="shared" si="92"/>
        <v>0</v>
      </c>
      <c r="AF70">
        <f t="shared" si="93"/>
        <v>0</v>
      </c>
      <c r="AG70">
        <f t="shared" si="70"/>
        <v>0</v>
      </c>
      <c r="AH70">
        <f t="shared" si="94"/>
        <v>0</v>
      </c>
      <c r="AI70">
        <f t="shared" si="95"/>
        <v>0</v>
      </c>
      <c r="AJ70">
        <f t="shared" si="71"/>
        <v>0</v>
      </c>
      <c r="AK70">
        <v>5.3</v>
      </c>
      <c r="AL70">
        <v>5.3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95</v>
      </c>
      <c r="AU70">
        <v>47</v>
      </c>
      <c r="AV70">
        <v>1</v>
      </c>
      <c r="AW70">
        <v>1</v>
      </c>
      <c r="AZ70">
        <v>6.13</v>
      </c>
      <c r="BA70">
        <v>1</v>
      </c>
      <c r="BB70">
        <v>1</v>
      </c>
      <c r="BC70">
        <v>6.13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1</v>
      </c>
      <c r="BJ70" t="s">
        <v>213</v>
      </c>
      <c r="BM70">
        <v>15001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105</v>
      </c>
      <c r="CA70">
        <v>55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2"/>
        <v>6663.1</v>
      </c>
      <c r="CQ70">
        <f t="shared" si="73"/>
        <v>32.488999999999997</v>
      </c>
      <c r="CR70">
        <f t="shared" si="74"/>
        <v>0</v>
      </c>
      <c r="CS70">
        <f t="shared" si="75"/>
        <v>0</v>
      </c>
      <c r="CT70">
        <f t="shared" si="76"/>
        <v>0</v>
      </c>
      <c r="CU70">
        <f t="shared" si="77"/>
        <v>0</v>
      </c>
      <c r="CV70">
        <f t="shared" si="78"/>
        <v>0</v>
      </c>
      <c r="CW70">
        <f t="shared" si="79"/>
        <v>0</v>
      </c>
      <c r="CX70">
        <f t="shared" si="80"/>
        <v>0</v>
      </c>
      <c r="CY70">
        <f t="shared" si="81"/>
        <v>0</v>
      </c>
      <c r="CZ70">
        <f t="shared" si="82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1003</v>
      </c>
      <c r="DV70" t="s">
        <v>74</v>
      </c>
      <c r="DW70" t="s">
        <v>74</v>
      </c>
      <c r="DX70">
        <v>1</v>
      </c>
      <c r="EE70">
        <v>39174529</v>
      </c>
      <c r="EF70">
        <v>2</v>
      </c>
      <c r="EG70" t="s">
        <v>13</v>
      </c>
      <c r="EH70">
        <v>0</v>
      </c>
      <c r="EI70" t="s">
        <v>3</v>
      </c>
      <c r="EJ70">
        <v>1</v>
      </c>
      <c r="EK70">
        <v>15001</v>
      </c>
      <c r="EL70" t="s">
        <v>123</v>
      </c>
      <c r="EM70" t="s">
        <v>124</v>
      </c>
      <c r="EO70" t="s">
        <v>3</v>
      </c>
      <c r="EQ70">
        <v>0</v>
      </c>
      <c r="ER70">
        <v>5.3</v>
      </c>
      <c r="ES70">
        <v>5.3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83"/>
        <v>0</v>
      </c>
      <c r="FS70">
        <v>0</v>
      </c>
      <c r="FT70" t="s">
        <v>29</v>
      </c>
      <c r="FU70" t="s">
        <v>30</v>
      </c>
      <c r="FX70">
        <v>94.5</v>
      </c>
      <c r="FY70">
        <v>46.75</v>
      </c>
      <c r="GA70" t="s">
        <v>3</v>
      </c>
      <c r="GD70">
        <v>0</v>
      </c>
      <c r="GF70">
        <v>-409739188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84"/>
        <v>0</v>
      </c>
      <c r="GM70">
        <f t="shared" si="85"/>
        <v>6663.1</v>
      </c>
      <c r="GN70">
        <f t="shared" si="86"/>
        <v>6663.1</v>
      </c>
      <c r="GO70">
        <f t="shared" si="87"/>
        <v>0</v>
      </c>
      <c r="GP70">
        <f t="shared" si="88"/>
        <v>0</v>
      </c>
      <c r="GR70">
        <v>0</v>
      </c>
      <c r="GS70">
        <v>3</v>
      </c>
      <c r="GT70">
        <v>0</v>
      </c>
      <c r="GU70" t="s">
        <v>3</v>
      </c>
      <c r="GV70">
        <f t="shared" si="89"/>
        <v>0</v>
      </c>
      <c r="GW70">
        <v>1</v>
      </c>
      <c r="GX70">
        <f t="shared" si="90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181</v>
      </c>
      <c r="E71" t="s">
        <v>214</v>
      </c>
      <c r="F71" t="s">
        <v>215</v>
      </c>
      <c r="G71" t="s">
        <v>216</v>
      </c>
      <c r="H71" t="s">
        <v>217</v>
      </c>
      <c r="I71">
        <f>I66*J71</f>
        <v>0.83699999999999986</v>
      </c>
      <c r="J71">
        <v>0.35999999999999993</v>
      </c>
      <c r="O71">
        <f t="shared" si="57"/>
        <v>131.13999999999999</v>
      </c>
      <c r="P71">
        <f t="shared" si="58"/>
        <v>131.13999999999999</v>
      </c>
      <c r="Q71">
        <f t="shared" si="59"/>
        <v>0</v>
      </c>
      <c r="R71">
        <f t="shared" si="60"/>
        <v>0</v>
      </c>
      <c r="S71">
        <f t="shared" si="61"/>
        <v>0</v>
      </c>
      <c r="T71">
        <f t="shared" si="62"/>
        <v>0</v>
      </c>
      <c r="U71">
        <f t="shared" si="63"/>
        <v>0</v>
      </c>
      <c r="V71">
        <f t="shared" si="64"/>
        <v>0</v>
      </c>
      <c r="W71">
        <f t="shared" si="65"/>
        <v>0</v>
      </c>
      <c r="X71">
        <f t="shared" si="66"/>
        <v>0</v>
      </c>
      <c r="Y71">
        <f t="shared" si="67"/>
        <v>0</v>
      </c>
      <c r="AA71">
        <v>39476960</v>
      </c>
      <c r="AB71">
        <f t="shared" si="68"/>
        <v>25.56</v>
      </c>
      <c r="AC71">
        <f t="shared" si="69"/>
        <v>25.56</v>
      </c>
      <c r="AD71">
        <f t="shared" si="91"/>
        <v>0</v>
      </c>
      <c r="AE71">
        <f t="shared" si="92"/>
        <v>0</v>
      </c>
      <c r="AF71">
        <f t="shared" si="93"/>
        <v>0</v>
      </c>
      <c r="AG71">
        <f t="shared" si="70"/>
        <v>0</v>
      </c>
      <c r="AH71">
        <f t="shared" si="94"/>
        <v>0</v>
      </c>
      <c r="AI71">
        <f t="shared" si="95"/>
        <v>0</v>
      </c>
      <c r="AJ71">
        <f t="shared" si="71"/>
        <v>0</v>
      </c>
      <c r="AK71">
        <v>25.56</v>
      </c>
      <c r="AL71">
        <v>25.56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6.13</v>
      </c>
      <c r="BA71">
        <v>1</v>
      </c>
      <c r="BB71">
        <v>1</v>
      </c>
      <c r="BC71">
        <v>6.13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218</v>
      </c>
      <c r="BM71">
        <v>15001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2"/>
        <v>131.13999999999999</v>
      </c>
      <c r="CQ71">
        <f t="shared" si="73"/>
        <v>156.68279999999999</v>
      </c>
      <c r="CR71">
        <f t="shared" si="74"/>
        <v>0</v>
      </c>
      <c r="CS71">
        <f t="shared" si="75"/>
        <v>0</v>
      </c>
      <c r="CT71">
        <f t="shared" si="76"/>
        <v>0</v>
      </c>
      <c r="CU71">
        <f t="shared" si="77"/>
        <v>0</v>
      </c>
      <c r="CV71">
        <f t="shared" si="78"/>
        <v>0</v>
      </c>
      <c r="CW71">
        <f t="shared" si="79"/>
        <v>0</v>
      </c>
      <c r="CX71">
        <f t="shared" si="80"/>
        <v>0</v>
      </c>
      <c r="CY71">
        <f t="shared" si="81"/>
        <v>0</v>
      </c>
      <c r="CZ71">
        <f t="shared" si="82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217</v>
      </c>
      <c r="DW71" t="s">
        <v>217</v>
      </c>
      <c r="DX71">
        <v>1</v>
      </c>
      <c r="EE71">
        <v>39174529</v>
      </c>
      <c r="EF71">
        <v>2</v>
      </c>
      <c r="EG71" t="s">
        <v>13</v>
      </c>
      <c r="EH71">
        <v>0</v>
      </c>
      <c r="EI71" t="s">
        <v>3</v>
      </c>
      <c r="EJ71">
        <v>1</v>
      </c>
      <c r="EK71">
        <v>15001</v>
      </c>
      <c r="EL71" t="s">
        <v>123</v>
      </c>
      <c r="EM71" t="s">
        <v>124</v>
      </c>
      <c r="EO71" t="s">
        <v>3</v>
      </c>
      <c r="EQ71">
        <v>0</v>
      </c>
      <c r="ER71">
        <v>25.56</v>
      </c>
      <c r="ES71">
        <v>25.56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3"/>
        <v>0</v>
      </c>
      <c r="FS71">
        <v>0</v>
      </c>
      <c r="FT71" t="s">
        <v>29</v>
      </c>
      <c r="FU71" t="s">
        <v>30</v>
      </c>
      <c r="FX71">
        <v>94.5</v>
      </c>
      <c r="FY71">
        <v>46.75</v>
      </c>
      <c r="GA71" t="s">
        <v>3</v>
      </c>
      <c r="GD71">
        <v>0</v>
      </c>
      <c r="GF71">
        <v>-89726692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84"/>
        <v>0</v>
      </c>
      <c r="GM71">
        <f t="shared" si="85"/>
        <v>131.13999999999999</v>
      </c>
      <c r="GN71">
        <f t="shared" si="86"/>
        <v>131.13999999999999</v>
      </c>
      <c r="GO71">
        <f t="shared" si="87"/>
        <v>0</v>
      </c>
      <c r="GP71">
        <f t="shared" si="88"/>
        <v>0</v>
      </c>
      <c r="GR71">
        <v>0</v>
      </c>
      <c r="GS71">
        <v>3</v>
      </c>
      <c r="GT71">
        <v>0</v>
      </c>
      <c r="GU71" t="s">
        <v>3</v>
      </c>
      <c r="GV71">
        <f t="shared" si="89"/>
        <v>0</v>
      </c>
      <c r="GW71">
        <v>1</v>
      </c>
      <c r="GX71">
        <f t="shared" si="90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168</v>
      </c>
      <c r="E72" t="s">
        <v>219</v>
      </c>
      <c r="F72" t="s">
        <v>220</v>
      </c>
      <c r="G72" t="s">
        <v>221</v>
      </c>
      <c r="H72" t="s">
        <v>61</v>
      </c>
      <c r="I72">
        <f>I66*J72</f>
        <v>235.755</v>
      </c>
      <c r="J72">
        <v>101.39999999999999</v>
      </c>
      <c r="O72">
        <f t="shared" si="57"/>
        <v>0</v>
      </c>
      <c r="P72">
        <f t="shared" si="58"/>
        <v>0</v>
      </c>
      <c r="Q72">
        <f t="shared" si="59"/>
        <v>0</v>
      </c>
      <c r="R72">
        <f t="shared" si="60"/>
        <v>0</v>
      </c>
      <c r="S72">
        <f t="shared" si="61"/>
        <v>0</v>
      </c>
      <c r="T72">
        <f t="shared" si="62"/>
        <v>0</v>
      </c>
      <c r="U72">
        <f t="shared" si="63"/>
        <v>0</v>
      </c>
      <c r="V72">
        <f t="shared" si="64"/>
        <v>0</v>
      </c>
      <c r="W72">
        <f t="shared" si="65"/>
        <v>0</v>
      </c>
      <c r="X72">
        <f t="shared" si="66"/>
        <v>0</v>
      </c>
      <c r="Y72">
        <f t="shared" si="67"/>
        <v>0</v>
      </c>
      <c r="AA72">
        <v>39476960</v>
      </c>
      <c r="AB72">
        <f t="shared" si="68"/>
        <v>0</v>
      </c>
      <c r="AC72">
        <f t="shared" si="69"/>
        <v>0</v>
      </c>
      <c r="AD72">
        <f t="shared" si="91"/>
        <v>0</v>
      </c>
      <c r="AE72">
        <f t="shared" si="92"/>
        <v>0</v>
      </c>
      <c r="AF72">
        <f t="shared" si="93"/>
        <v>0</v>
      </c>
      <c r="AG72">
        <f t="shared" si="70"/>
        <v>0</v>
      </c>
      <c r="AH72">
        <f t="shared" si="94"/>
        <v>0</v>
      </c>
      <c r="AI72">
        <f t="shared" si="95"/>
        <v>0</v>
      </c>
      <c r="AJ72">
        <f t="shared" si="71"/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6.13</v>
      </c>
      <c r="BA72">
        <v>1</v>
      </c>
      <c r="BB72">
        <v>1</v>
      </c>
      <c r="BC72">
        <v>6.13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3</v>
      </c>
      <c r="BM72">
        <v>15001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105</v>
      </c>
      <c r="CA72">
        <v>55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2"/>
        <v>0</v>
      </c>
      <c r="CQ72">
        <f t="shared" si="73"/>
        <v>0</v>
      </c>
      <c r="CR72">
        <f t="shared" si="74"/>
        <v>0</v>
      </c>
      <c r="CS72">
        <f t="shared" si="75"/>
        <v>0</v>
      </c>
      <c r="CT72">
        <f t="shared" si="76"/>
        <v>0</v>
      </c>
      <c r="CU72">
        <f t="shared" si="77"/>
        <v>0</v>
      </c>
      <c r="CV72">
        <f t="shared" si="78"/>
        <v>0</v>
      </c>
      <c r="CW72">
        <f t="shared" si="79"/>
        <v>0</v>
      </c>
      <c r="CX72">
        <f t="shared" si="80"/>
        <v>0</v>
      </c>
      <c r="CY72">
        <f t="shared" si="81"/>
        <v>0</v>
      </c>
      <c r="CZ72">
        <f t="shared" si="82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61</v>
      </c>
      <c r="DW72" t="s">
        <v>61</v>
      </c>
      <c r="DX72">
        <v>1</v>
      </c>
      <c r="EE72">
        <v>39174529</v>
      </c>
      <c r="EF72">
        <v>2</v>
      </c>
      <c r="EG72" t="s">
        <v>13</v>
      </c>
      <c r="EH72">
        <v>0</v>
      </c>
      <c r="EI72" t="s">
        <v>3</v>
      </c>
      <c r="EJ72">
        <v>1</v>
      </c>
      <c r="EK72">
        <v>15001</v>
      </c>
      <c r="EL72" t="s">
        <v>123</v>
      </c>
      <c r="EM72" t="s">
        <v>124</v>
      </c>
      <c r="EO72" t="s">
        <v>3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83"/>
        <v>0</v>
      </c>
      <c r="FS72">
        <v>0</v>
      </c>
      <c r="FT72" t="s">
        <v>29</v>
      </c>
      <c r="FU72" t="s">
        <v>30</v>
      </c>
      <c r="FX72">
        <v>94.5</v>
      </c>
      <c r="FY72">
        <v>46.75</v>
      </c>
      <c r="GA72" t="s">
        <v>3</v>
      </c>
      <c r="GD72">
        <v>0</v>
      </c>
      <c r="GF72">
        <v>-112006704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84"/>
        <v>0</v>
      </c>
      <c r="GM72">
        <f t="shared" si="85"/>
        <v>0</v>
      </c>
      <c r="GN72">
        <f t="shared" si="86"/>
        <v>0</v>
      </c>
      <c r="GO72">
        <f t="shared" si="87"/>
        <v>0</v>
      </c>
      <c r="GP72">
        <f t="shared" si="88"/>
        <v>0</v>
      </c>
      <c r="GR72">
        <v>0</v>
      </c>
      <c r="GS72">
        <v>3</v>
      </c>
      <c r="GT72">
        <v>0</v>
      </c>
      <c r="GU72" t="s">
        <v>3</v>
      </c>
      <c r="GV72">
        <f t="shared" si="89"/>
        <v>0</v>
      </c>
      <c r="GW72">
        <v>1</v>
      </c>
      <c r="GX72">
        <f t="shared" si="90"/>
        <v>0</v>
      </c>
      <c r="HA72">
        <v>0</v>
      </c>
      <c r="HB72">
        <v>0</v>
      </c>
      <c r="IK72">
        <v>0</v>
      </c>
    </row>
    <row r="73" spans="1:245" x14ac:dyDescent="0.2">
      <c r="A73">
        <v>18</v>
      </c>
      <c r="B73">
        <v>1</v>
      </c>
      <c r="C73">
        <v>174</v>
      </c>
      <c r="E73" t="s">
        <v>222</v>
      </c>
      <c r="F73" t="s">
        <v>223</v>
      </c>
      <c r="G73" t="s">
        <v>224</v>
      </c>
      <c r="H73" t="s">
        <v>25</v>
      </c>
      <c r="I73">
        <f>I66*J73</f>
        <v>6.9750000000000006E-2</v>
      </c>
      <c r="J73">
        <v>0.03</v>
      </c>
      <c r="O73">
        <f t="shared" si="57"/>
        <v>0</v>
      </c>
      <c r="P73">
        <f t="shared" si="58"/>
        <v>0</v>
      </c>
      <c r="Q73">
        <f t="shared" si="59"/>
        <v>0</v>
      </c>
      <c r="R73">
        <f t="shared" si="60"/>
        <v>0</v>
      </c>
      <c r="S73">
        <f t="shared" si="61"/>
        <v>0</v>
      </c>
      <c r="T73">
        <f t="shared" si="62"/>
        <v>0</v>
      </c>
      <c r="U73">
        <f t="shared" si="63"/>
        <v>0</v>
      </c>
      <c r="V73">
        <f t="shared" si="64"/>
        <v>0</v>
      </c>
      <c r="W73">
        <f t="shared" si="65"/>
        <v>0</v>
      </c>
      <c r="X73">
        <f t="shared" si="66"/>
        <v>0</v>
      </c>
      <c r="Y73">
        <f t="shared" si="67"/>
        <v>0</v>
      </c>
      <c r="AA73">
        <v>39476960</v>
      </c>
      <c r="AB73">
        <f t="shared" si="68"/>
        <v>0</v>
      </c>
      <c r="AC73">
        <f t="shared" si="69"/>
        <v>0</v>
      </c>
      <c r="AD73">
        <f t="shared" si="91"/>
        <v>0</v>
      </c>
      <c r="AE73">
        <f t="shared" si="92"/>
        <v>0</v>
      </c>
      <c r="AF73">
        <f t="shared" si="93"/>
        <v>0</v>
      </c>
      <c r="AG73">
        <f t="shared" si="70"/>
        <v>0</v>
      </c>
      <c r="AH73">
        <f t="shared" si="94"/>
        <v>0</v>
      </c>
      <c r="AI73">
        <f t="shared" si="95"/>
        <v>0</v>
      </c>
      <c r="AJ73">
        <f t="shared" si="71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6.13</v>
      </c>
      <c r="BA73">
        <v>1</v>
      </c>
      <c r="BB73">
        <v>1</v>
      </c>
      <c r="BC73">
        <v>6.13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3</v>
      </c>
      <c r="BM73">
        <v>15001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2"/>
        <v>0</v>
      </c>
      <c r="CQ73">
        <f t="shared" si="73"/>
        <v>0</v>
      </c>
      <c r="CR73">
        <f t="shared" si="74"/>
        <v>0</v>
      </c>
      <c r="CS73">
        <f t="shared" si="75"/>
        <v>0</v>
      </c>
      <c r="CT73">
        <f t="shared" si="76"/>
        <v>0</v>
      </c>
      <c r="CU73">
        <f t="shared" si="77"/>
        <v>0</v>
      </c>
      <c r="CV73">
        <f t="shared" si="78"/>
        <v>0</v>
      </c>
      <c r="CW73">
        <f t="shared" si="79"/>
        <v>0</v>
      </c>
      <c r="CX73">
        <f t="shared" si="80"/>
        <v>0</v>
      </c>
      <c r="CY73">
        <f t="shared" si="81"/>
        <v>0</v>
      </c>
      <c r="CZ73">
        <f t="shared" si="82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1007</v>
      </c>
      <c r="DV73" t="s">
        <v>25</v>
      </c>
      <c r="DW73" t="s">
        <v>25</v>
      </c>
      <c r="DX73">
        <v>1</v>
      </c>
      <c r="EE73">
        <v>39174529</v>
      </c>
      <c r="EF73">
        <v>2</v>
      </c>
      <c r="EG73" t="s">
        <v>13</v>
      </c>
      <c r="EH73">
        <v>0</v>
      </c>
      <c r="EI73" t="s">
        <v>3</v>
      </c>
      <c r="EJ73">
        <v>1</v>
      </c>
      <c r="EK73">
        <v>15001</v>
      </c>
      <c r="EL73" t="s">
        <v>123</v>
      </c>
      <c r="EM73" t="s">
        <v>124</v>
      </c>
      <c r="EO73" t="s">
        <v>3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3"/>
        <v>0</v>
      </c>
      <c r="FS73">
        <v>0</v>
      </c>
      <c r="FT73" t="s">
        <v>29</v>
      </c>
      <c r="FU73" t="s">
        <v>30</v>
      </c>
      <c r="FX73">
        <v>94.5</v>
      </c>
      <c r="FY73">
        <v>46.75</v>
      </c>
      <c r="GA73" t="s">
        <v>3</v>
      </c>
      <c r="GD73">
        <v>0</v>
      </c>
      <c r="GF73">
        <v>1453685779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84"/>
        <v>0</v>
      </c>
      <c r="GM73">
        <f t="shared" si="85"/>
        <v>0</v>
      </c>
      <c r="GN73">
        <f t="shared" si="86"/>
        <v>0</v>
      </c>
      <c r="GO73">
        <f t="shared" si="87"/>
        <v>0</v>
      </c>
      <c r="GP73">
        <f t="shared" si="88"/>
        <v>0</v>
      </c>
      <c r="GR73">
        <v>0</v>
      </c>
      <c r="GS73">
        <v>3</v>
      </c>
      <c r="GT73">
        <v>0</v>
      </c>
      <c r="GU73" t="s">
        <v>3</v>
      </c>
      <c r="GV73">
        <f t="shared" si="89"/>
        <v>0</v>
      </c>
      <c r="GW73">
        <v>1</v>
      </c>
      <c r="GX73">
        <f t="shared" si="90"/>
        <v>0</v>
      </c>
      <c r="HA73">
        <v>0</v>
      </c>
      <c r="HB73">
        <v>0</v>
      </c>
      <c r="IK73">
        <v>0</v>
      </c>
    </row>
    <row r="74" spans="1:245" x14ac:dyDescent="0.2">
      <c r="A74">
        <v>18</v>
      </c>
      <c r="B74">
        <v>1</v>
      </c>
      <c r="C74">
        <v>177</v>
      </c>
      <c r="E74" t="s">
        <v>225</v>
      </c>
      <c r="F74" t="s">
        <v>226</v>
      </c>
      <c r="G74" t="s">
        <v>212</v>
      </c>
      <c r="H74" t="s">
        <v>74</v>
      </c>
      <c r="I74">
        <f>I66*J74</f>
        <v>205.08799999999999</v>
      </c>
      <c r="J74">
        <v>88.209892473118273</v>
      </c>
      <c r="O74">
        <f t="shared" si="57"/>
        <v>0</v>
      </c>
      <c r="P74">
        <f t="shared" si="58"/>
        <v>0</v>
      </c>
      <c r="Q74">
        <f t="shared" si="59"/>
        <v>0</v>
      </c>
      <c r="R74">
        <f t="shared" si="60"/>
        <v>0</v>
      </c>
      <c r="S74">
        <f t="shared" si="61"/>
        <v>0</v>
      </c>
      <c r="T74">
        <f t="shared" si="62"/>
        <v>0</v>
      </c>
      <c r="U74">
        <f t="shared" si="63"/>
        <v>0</v>
      </c>
      <c r="V74">
        <f t="shared" si="64"/>
        <v>0</v>
      </c>
      <c r="W74">
        <f t="shared" si="65"/>
        <v>0</v>
      </c>
      <c r="X74">
        <f t="shared" si="66"/>
        <v>0</v>
      </c>
      <c r="Y74">
        <f t="shared" si="67"/>
        <v>0</v>
      </c>
      <c r="AA74">
        <v>39476960</v>
      </c>
      <c r="AB74">
        <f t="shared" si="68"/>
        <v>0</v>
      </c>
      <c r="AC74">
        <f t="shared" si="69"/>
        <v>0</v>
      </c>
      <c r="AD74">
        <f t="shared" si="91"/>
        <v>0</v>
      </c>
      <c r="AE74">
        <f t="shared" si="92"/>
        <v>0</v>
      </c>
      <c r="AF74">
        <f t="shared" si="93"/>
        <v>0</v>
      </c>
      <c r="AG74">
        <f t="shared" si="70"/>
        <v>0</v>
      </c>
      <c r="AH74">
        <f t="shared" si="94"/>
        <v>0</v>
      </c>
      <c r="AI74">
        <f t="shared" si="95"/>
        <v>0</v>
      </c>
      <c r="AJ74">
        <f t="shared" si="71"/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95</v>
      </c>
      <c r="AU74">
        <v>47</v>
      </c>
      <c r="AV74">
        <v>1</v>
      </c>
      <c r="AW74">
        <v>1</v>
      </c>
      <c r="AZ74">
        <v>6.13</v>
      </c>
      <c r="BA74">
        <v>1</v>
      </c>
      <c r="BB74">
        <v>1</v>
      </c>
      <c r="BC74">
        <v>6.13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3</v>
      </c>
      <c r="BM74">
        <v>15001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105</v>
      </c>
      <c r="CA74">
        <v>55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2"/>
        <v>0</v>
      </c>
      <c r="CQ74">
        <f t="shared" si="73"/>
        <v>0</v>
      </c>
      <c r="CR74">
        <f t="shared" si="74"/>
        <v>0</v>
      </c>
      <c r="CS74">
        <f t="shared" si="75"/>
        <v>0</v>
      </c>
      <c r="CT74">
        <f t="shared" si="76"/>
        <v>0</v>
      </c>
      <c r="CU74">
        <f t="shared" si="77"/>
        <v>0</v>
      </c>
      <c r="CV74">
        <f t="shared" si="78"/>
        <v>0</v>
      </c>
      <c r="CW74">
        <f t="shared" si="79"/>
        <v>0</v>
      </c>
      <c r="CX74">
        <f t="shared" si="80"/>
        <v>0</v>
      </c>
      <c r="CY74">
        <f t="shared" si="81"/>
        <v>0</v>
      </c>
      <c r="CZ74">
        <f t="shared" si="82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74</v>
      </c>
      <c r="DW74" t="s">
        <v>74</v>
      </c>
      <c r="DX74">
        <v>1</v>
      </c>
      <c r="EE74">
        <v>39174529</v>
      </c>
      <c r="EF74">
        <v>2</v>
      </c>
      <c r="EG74" t="s">
        <v>13</v>
      </c>
      <c r="EH74">
        <v>0</v>
      </c>
      <c r="EI74" t="s">
        <v>3</v>
      </c>
      <c r="EJ74">
        <v>1</v>
      </c>
      <c r="EK74">
        <v>15001</v>
      </c>
      <c r="EL74" t="s">
        <v>123</v>
      </c>
      <c r="EM74" t="s">
        <v>124</v>
      </c>
      <c r="EO74" t="s">
        <v>3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83"/>
        <v>0</v>
      </c>
      <c r="FS74">
        <v>0</v>
      </c>
      <c r="FT74" t="s">
        <v>29</v>
      </c>
      <c r="FU74" t="s">
        <v>30</v>
      </c>
      <c r="FX74">
        <v>94.5</v>
      </c>
      <c r="FY74">
        <v>46.75</v>
      </c>
      <c r="GA74" t="s">
        <v>3</v>
      </c>
      <c r="GD74">
        <v>0</v>
      </c>
      <c r="GF74">
        <v>499031982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84"/>
        <v>0</v>
      </c>
      <c r="GM74">
        <f t="shared" si="85"/>
        <v>0</v>
      </c>
      <c r="GN74">
        <f t="shared" si="86"/>
        <v>0</v>
      </c>
      <c r="GO74">
        <f t="shared" si="87"/>
        <v>0</v>
      </c>
      <c r="GP74">
        <f t="shared" si="88"/>
        <v>0</v>
      </c>
      <c r="GR74">
        <v>0</v>
      </c>
      <c r="GS74">
        <v>3</v>
      </c>
      <c r="GT74">
        <v>0</v>
      </c>
      <c r="GU74" t="s">
        <v>3</v>
      </c>
      <c r="GV74">
        <f t="shared" si="89"/>
        <v>0</v>
      </c>
      <c r="GW74">
        <v>1</v>
      </c>
      <c r="GX74">
        <f t="shared" si="90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178</v>
      </c>
      <c r="E75" t="s">
        <v>227</v>
      </c>
      <c r="F75" t="s">
        <v>226</v>
      </c>
      <c r="G75" t="s">
        <v>208</v>
      </c>
      <c r="H75" t="s">
        <v>74</v>
      </c>
      <c r="I75">
        <f>I66*J75</f>
        <v>93.93</v>
      </c>
      <c r="J75">
        <v>40.4</v>
      </c>
      <c r="O75">
        <f t="shared" si="57"/>
        <v>0</v>
      </c>
      <c r="P75">
        <f t="shared" si="58"/>
        <v>0</v>
      </c>
      <c r="Q75">
        <f t="shared" si="59"/>
        <v>0</v>
      </c>
      <c r="R75">
        <f t="shared" si="60"/>
        <v>0</v>
      </c>
      <c r="S75">
        <f t="shared" si="61"/>
        <v>0</v>
      </c>
      <c r="T75">
        <f t="shared" si="62"/>
        <v>0</v>
      </c>
      <c r="U75">
        <f t="shared" si="63"/>
        <v>0</v>
      </c>
      <c r="V75">
        <f t="shared" si="64"/>
        <v>0</v>
      </c>
      <c r="W75">
        <f t="shared" si="65"/>
        <v>0</v>
      </c>
      <c r="X75">
        <f t="shared" si="66"/>
        <v>0</v>
      </c>
      <c r="Y75">
        <f t="shared" si="67"/>
        <v>0</v>
      </c>
      <c r="AA75">
        <v>39476960</v>
      </c>
      <c r="AB75">
        <f t="shared" si="68"/>
        <v>0</v>
      </c>
      <c r="AC75">
        <f t="shared" si="69"/>
        <v>0</v>
      </c>
      <c r="AD75">
        <f t="shared" si="91"/>
        <v>0</v>
      </c>
      <c r="AE75">
        <f t="shared" si="92"/>
        <v>0</v>
      </c>
      <c r="AF75">
        <f t="shared" si="93"/>
        <v>0</v>
      </c>
      <c r="AG75">
        <f t="shared" si="70"/>
        <v>0</v>
      </c>
      <c r="AH75">
        <f t="shared" si="94"/>
        <v>0</v>
      </c>
      <c r="AI75">
        <f t="shared" si="95"/>
        <v>0</v>
      </c>
      <c r="AJ75">
        <f t="shared" si="71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6.13</v>
      </c>
      <c r="BA75">
        <v>1</v>
      </c>
      <c r="BB75">
        <v>1</v>
      </c>
      <c r="BC75">
        <v>6.13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3</v>
      </c>
      <c r="BM75">
        <v>15001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2"/>
        <v>0</v>
      </c>
      <c r="CQ75">
        <f t="shared" si="73"/>
        <v>0</v>
      </c>
      <c r="CR75">
        <f t="shared" si="74"/>
        <v>0</v>
      </c>
      <c r="CS75">
        <f t="shared" si="75"/>
        <v>0</v>
      </c>
      <c r="CT75">
        <f t="shared" si="76"/>
        <v>0</v>
      </c>
      <c r="CU75">
        <f t="shared" si="77"/>
        <v>0</v>
      </c>
      <c r="CV75">
        <f t="shared" si="78"/>
        <v>0</v>
      </c>
      <c r="CW75">
        <f t="shared" si="79"/>
        <v>0</v>
      </c>
      <c r="CX75">
        <f t="shared" si="80"/>
        <v>0</v>
      </c>
      <c r="CY75">
        <f t="shared" si="81"/>
        <v>0</v>
      </c>
      <c r="CZ75">
        <f t="shared" si="82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74</v>
      </c>
      <c r="DW75" t="s">
        <v>74</v>
      </c>
      <c r="DX75">
        <v>1</v>
      </c>
      <c r="EE75">
        <v>39174529</v>
      </c>
      <c r="EF75">
        <v>2</v>
      </c>
      <c r="EG75" t="s">
        <v>13</v>
      </c>
      <c r="EH75">
        <v>0</v>
      </c>
      <c r="EI75" t="s">
        <v>3</v>
      </c>
      <c r="EJ75">
        <v>1</v>
      </c>
      <c r="EK75">
        <v>15001</v>
      </c>
      <c r="EL75" t="s">
        <v>123</v>
      </c>
      <c r="EM75" t="s">
        <v>124</v>
      </c>
      <c r="EO75" t="s">
        <v>3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3"/>
        <v>0</v>
      </c>
      <c r="FS75">
        <v>0</v>
      </c>
      <c r="FT75" t="s">
        <v>29</v>
      </c>
      <c r="FU75" t="s">
        <v>30</v>
      </c>
      <c r="FX75">
        <v>94.5</v>
      </c>
      <c r="FY75">
        <v>46.75</v>
      </c>
      <c r="GA75" t="s">
        <v>3</v>
      </c>
      <c r="GD75">
        <v>0</v>
      </c>
      <c r="GF75">
        <v>1706276075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84"/>
        <v>0</v>
      </c>
      <c r="GM75">
        <f t="shared" si="85"/>
        <v>0</v>
      </c>
      <c r="GN75">
        <f t="shared" si="86"/>
        <v>0</v>
      </c>
      <c r="GO75">
        <f t="shared" si="87"/>
        <v>0</v>
      </c>
      <c r="GP75">
        <f t="shared" si="88"/>
        <v>0</v>
      </c>
      <c r="GR75">
        <v>0</v>
      </c>
      <c r="GS75">
        <v>3</v>
      </c>
      <c r="GT75">
        <v>0</v>
      </c>
      <c r="GU75" t="s">
        <v>3</v>
      </c>
      <c r="GV75">
        <f t="shared" si="89"/>
        <v>0</v>
      </c>
      <c r="GW75">
        <v>1</v>
      </c>
      <c r="GX75">
        <f t="shared" si="90"/>
        <v>0</v>
      </c>
      <c r="HA75">
        <v>0</v>
      </c>
      <c r="HB75">
        <v>0</v>
      </c>
      <c r="IK75">
        <v>0</v>
      </c>
    </row>
    <row r="76" spans="1:245" x14ac:dyDescent="0.2">
      <c r="A76">
        <v>18</v>
      </c>
      <c r="B76">
        <v>1</v>
      </c>
      <c r="C76">
        <v>182</v>
      </c>
      <c r="E76" t="s">
        <v>228</v>
      </c>
      <c r="F76" t="s">
        <v>229</v>
      </c>
      <c r="G76" t="s">
        <v>230</v>
      </c>
      <c r="H76" t="s">
        <v>217</v>
      </c>
      <c r="I76">
        <f>I66*J76</f>
        <v>0.83699999999999986</v>
      </c>
      <c r="J76">
        <v>0.35999999999999993</v>
      </c>
      <c r="O76">
        <f t="shared" si="57"/>
        <v>0</v>
      </c>
      <c r="P76">
        <f t="shared" si="58"/>
        <v>0</v>
      </c>
      <c r="Q76">
        <f t="shared" si="59"/>
        <v>0</v>
      </c>
      <c r="R76">
        <f t="shared" si="60"/>
        <v>0</v>
      </c>
      <c r="S76">
        <f t="shared" si="61"/>
        <v>0</v>
      </c>
      <c r="T76">
        <f t="shared" si="62"/>
        <v>0</v>
      </c>
      <c r="U76">
        <f t="shared" si="63"/>
        <v>0</v>
      </c>
      <c r="V76">
        <f t="shared" si="64"/>
        <v>0</v>
      </c>
      <c r="W76">
        <f t="shared" si="65"/>
        <v>0</v>
      </c>
      <c r="X76">
        <f t="shared" si="66"/>
        <v>0</v>
      </c>
      <c r="Y76">
        <f t="shared" si="67"/>
        <v>0</v>
      </c>
      <c r="AA76">
        <v>39476960</v>
      </c>
      <c r="AB76">
        <f t="shared" si="68"/>
        <v>0</v>
      </c>
      <c r="AC76">
        <f t="shared" si="69"/>
        <v>0</v>
      </c>
      <c r="AD76">
        <f t="shared" si="91"/>
        <v>0</v>
      </c>
      <c r="AE76">
        <f t="shared" si="92"/>
        <v>0</v>
      </c>
      <c r="AF76">
        <f t="shared" si="93"/>
        <v>0</v>
      </c>
      <c r="AG76">
        <f t="shared" si="70"/>
        <v>0</v>
      </c>
      <c r="AH76">
        <f t="shared" si="94"/>
        <v>0</v>
      </c>
      <c r="AI76">
        <f t="shared" si="95"/>
        <v>0</v>
      </c>
      <c r="AJ76">
        <f t="shared" si="71"/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95</v>
      </c>
      <c r="AU76">
        <v>47</v>
      </c>
      <c r="AV76">
        <v>1</v>
      </c>
      <c r="AW76">
        <v>1</v>
      </c>
      <c r="AZ76">
        <v>6.13</v>
      </c>
      <c r="BA76">
        <v>1</v>
      </c>
      <c r="BB76">
        <v>1</v>
      </c>
      <c r="BC76">
        <v>6.13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3</v>
      </c>
      <c r="BM76">
        <v>15001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105</v>
      </c>
      <c r="CA76">
        <v>55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2"/>
        <v>0</v>
      </c>
      <c r="CQ76">
        <f t="shared" si="73"/>
        <v>0</v>
      </c>
      <c r="CR76">
        <f t="shared" si="74"/>
        <v>0</v>
      </c>
      <c r="CS76">
        <f t="shared" si="75"/>
        <v>0</v>
      </c>
      <c r="CT76">
        <f t="shared" si="76"/>
        <v>0</v>
      </c>
      <c r="CU76">
        <f t="shared" si="77"/>
        <v>0</v>
      </c>
      <c r="CV76">
        <f t="shared" si="78"/>
        <v>0</v>
      </c>
      <c r="CW76">
        <f t="shared" si="79"/>
        <v>0</v>
      </c>
      <c r="CX76">
        <f t="shared" si="80"/>
        <v>0</v>
      </c>
      <c r="CY76">
        <f t="shared" si="81"/>
        <v>0</v>
      </c>
      <c r="CZ76">
        <f t="shared" si="82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1009</v>
      </c>
      <c r="DV76" t="s">
        <v>217</v>
      </c>
      <c r="DW76" t="s">
        <v>217</v>
      </c>
      <c r="DX76">
        <v>1</v>
      </c>
      <c r="EE76">
        <v>39174529</v>
      </c>
      <c r="EF76">
        <v>2</v>
      </c>
      <c r="EG76" t="s">
        <v>13</v>
      </c>
      <c r="EH76">
        <v>0</v>
      </c>
      <c r="EI76" t="s">
        <v>3</v>
      </c>
      <c r="EJ76">
        <v>1</v>
      </c>
      <c r="EK76">
        <v>15001</v>
      </c>
      <c r="EL76" t="s">
        <v>123</v>
      </c>
      <c r="EM76" t="s">
        <v>124</v>
      </c>
      <c r="EO76" t="s">
        <v>3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83"/>
        <v>0</v>
      </c>
      <c r="FS76">
        <v>0</v>
      </c>
      <c r="FT76" t="s">
        <v>29</v>
      </c>
      <c r="FU76" t="s">
        <v>30</v>
      </c>
      <c r="FX76">
        <v>94.5</v>
      </c>
      <c r="FY76">
        <v>46.75</v>
      </c>
      <c r="GA76" t="s">
        <v>3</v>
      </c>
      <c r="GD76">
        <v>0</v>
      </c>
      <c r="GF76">
        <v>-1516100259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84"/>
        <v>0</v>
      </c>
      <c r="GM76">
        <f t="shared" si="85"/>
        <v>0</v>
      </c>
      <c r="GN76">
        <f t="shared" si="86"/>
        <v>0</v>
      </c>
      <c r="GO76">
        <f t="shared" si="87"/>
        <v>0</v>
      </c>
      <c r="GP76">
        <f t="shared" si="88"/>
        <v>0</v>
      </c>
      <c r="GR76">
        <v>0</v>
      </c>
      <c r="GS76">
        <v>3</v>
      </c>
      <c r="GT76">
        <v>0</v>
      </c>
      <c r="GU76" t="s">
        <v>3</v>
      </c>
      <c r="GV76">
        <f t="shared" si="89"/>
        <v>0</v>
      </c>
      <c r="GW76">
        <v>1</v>
      </c>
      <c r="GX76">
        <f t="shared" si="90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ROW(SmtRes!A194)</f>
        <v>194</v>
      </c>
      <c r="D77">
        <f>ROW(EtalonRes!A183)</f>
        <v>183</v>
      </c>
      <c r="E77" t="s">
        <v>231</v>
      </c>
      <c r="F77" t="s">
        <v>232</v>
      </c>
      <c r="G77" t="s">
        <v>233</v>
      </c>
      <c r="H77" t="s">
        <v>17</v>
      </c>
      <c r="I77">
        <f>ROUND(38/100,9)</f>
        <v>0.38</v>
      </c>
      <c r="J77">
        <v>0</v>
      </c>
      <c r="O77">
        <f t="shared" si="57"/>
        <v>4820.5600000000004</v>
      </c>
      <c r="P77">
        <f t="shared" si="58"/>
        <v>2306.1999999999998</v>
      </c>
      <c r="Q77">
        <f t="shared" si="59"/>
        <v>236.81</v>
      </c>
      <c r="R77">
        <f t="shared" si="60"/>
        <v>46.03</v>
      </c>
      <c r="S77">
        <f t="shared" si="61"/>
        <v>2277.5500000000002</v>
      </c>
      <c r="T77">
        <f t="shared" si="62"/>
        <v>0</v>
      </c>
      <c r="U77">
        <f t="shared" si="63"/>
        <v>40.473192000000004</v>
      </c>
      <c r="V77">
        <f t="shared" si="64"/>
        <v>0.63270000000000015</v>
      </c>
      <c r="W77">
        <f t="shared" si="65"/>
        <v>0</v>
      </c>
      <c r="X77">
        <f t="shared" si="66"/>
        <v>2207.4</v>
      </c>
      <c r="Y77">
        <f t="shared" si="67"/>
        <v>1092.08</v>
      </c>
      <c r="AA77">
        <v>39476960</v>
      </c>
      <c r="AB77">
        <f t="shared" si="68"/>
        <v>2069.44</v>
      </c>
      <c r="AC77">
        <f t="shared" si="69"/>
        <v>990.04</v>
      </c>
      <c r="AD77">
        <f>ROUND((((((ET77*1.25)*1.2))-(((EU77*1.25)*1.2)))+AE77),2)</f>
        <v>101.66</v>
      </c>
      <c r="AE77">
        <f>ROUND((((EU77*1.25)*1.2)),2)</f>
        <v>19.760000000000002</v>
      </c>
      <c r="AF77">
        <f>ROUND((((EV77*1.15)*1.2)),2)</f>
        <v>977.74</v>
      </c>
      <c r="AG77">
        <f t="shared" si="70"/>
        <v>0</v>
      </c>
      <c r="AH77">
        <f>(((EW77*1.15)*1.2))</f>
        <v>106.50840000000001</v>
      </c>
      <c r="AI77">
        <f>(((EX77*1.25)*1.2))</f>
        <v>1.6650000000000003</v>
      </c>
      <c r="AJ77">
        <f t="shared" si="71"/>
        <v>0</v>
      </c>
      <c r="AK77">
        <v>1766.32</v>
      </c>
      <c r="AL77">
        <v>990.04</v>
      </c>
      <c r="AM77">
        <v>67.77</v>
      </c>
      <c r="AN77">
        <v>13.17</v>
      </c>
      <c r="AO77">
        <v>708.51</v>
      </c>
      <c r="AP77">
        <v>0</v>
      </c>
      <c r="AQ77">
        <v>77.180000000000007</v>
      </c>
      <c r="AR77">
        <v>1.1100000000000001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6.13</v>
      </c>
      <c r="BA77">
        <v>6.13</v>
      </c>
      <c r="BB77">
        <v>6.13</v>
      </c>
      <c r="BC77">
        <v>6.13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234</v>
      </c>
      <c r="BM77">
        <v>15001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6.13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1274</v>
      </c>
      <c r="CO77">
        <v>0</v>
      </c>
      <c r="CP77">
        <f t="shared" si="72"/>
        <v>4820.5599999999995</v>
      </c>
      <c r="CQ77">
        <f t="shared" si="73"/>
        <v>6068.9452000000001</v>
      </c>
      <c r="CR77">
        <f t="shared" si="74"/>
        <v>623.17579999999998</v>
      </c>
      <c r="CS77">
        <f t="shared" si="75"/>
        <v>121.12880000000001</v>
      </c>
      <c r="CT77">
        <f t="shared" si="76"/>
        <v>5993.5461999999998</v>
      </c>
      <c r="CU77">
        <f t="shared" si="77"/>
        <v>0</v>
      </c>
      <c r="CV77">
        <f t="shared" si="78"/>
        <v>106.50840000000001</v>
      </c>
      <c r="CW77">
        <f t="shared" si="79"/>
        <v>1.6650000000000003</v>
      </c>
      <c r="CX77">
        <f t="shared" si="80"/>
        <v>0</v>
      </c>
      <c r="CY77">
        <f t="shared" si="81"/>
        <v>2207.4010000000003</v>
      </c>
      <c r="CZ77">
        <f t="shared" si="82"/>
        <v>1092.0826000000002</v>
      </c>
      <c r="DC77" t="s">
        <v>3</v>
      </c>
      <c r="DD77" t="s">
        <v>3</v>
      </c>
      <c r="DE77" t="s">
        <v>53</v>
      </c>
      <c r="DF77" t="s">
        <v>53</v>
      </c>
      <c r="DG77" t="s">
        <v>54</v>
      </c>
      <c r="DH77" t="s">
        <v>3</v>
      </c>
      <c r="DI77" t="s">
        <v>54</v>
      </c>
      <c r="DJ77" t="s">
        <v>53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17</v>
      </c>
      <c r="DW77" t="s">
        <v>17</v>
      </c>
      <c r="DX77">
        <v>100</v>
      </c>
      <c r="EE77">
        <v>39174529</v>
      </c>
      <c r="EF77">
        <v>2</v>
      </c>
      <c r="EG77" t="s">
        <v>13</v>
      </c>
      <c r="EH77">
        <v>0</v>
      </c>
      <c r="EI77" t="s">
        <v>3</v>
      </c>
      <c r="EJ77">
        <v>1</v>
      </c>
      <c r="EK77">
        <v>15001</v>
      </c>
      <c r="EL77" t="s">
        <v>123</v>
      </c>
      <c r="EM77" t="s">
        <v>124</v>
      </c>
      <c r="EO77" t="s">
        <v>89</v>
      </c>
      <c r="EQ77">
        <v>0</v>
      </c>
      <c r="ER77">
        <v>1766.32</v>
      </c>
      <c r="ES77">
        <v>990.04</v>
      </c>
      <c r="ET77">
        <v>67.77</v>
      </c>
      <c r="EU77">
        <v>13.17</v>
      </c>
      <c r="EV77">
        <v>708.51</v>
      </c>
      <c r="EW77">
        <v>77.180000000000007</v>
      </c>
      <c r="EX77">
        <v>1.1100000000000001</v>
      </c>
      <c r="EY77">
        <v>0</v>
      </c>
      <c r="FQ77">
        <v>0</v>
      </c>
      <c r="FR77">
        <f t="shared" si="83"/>
        <v>0</v>
      </c>
      <c r="FS77">
        <v>0</v>
      </c>
      <c r="FT77" t="s">
        <v>29</v>
      </c>
      <c r="FU77" t="s">
        <v>30</v>
      </c>
      <c r="FX77">
        <v>94.5</v>
      </c>
      <c r="FY77">
        <v>46.75</v>
      </c>
      <c r="GA77" t="s">
        <v>3</v>
      </c>
      <c r="GD77">
        <v>0</v>
      </c>
      <c r="GF77">
        <v>119792684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84"/>
        <v>0</v>
      </c>
      <c r="GM77">
        <f t="shared" si="85"/>
        <v>8120.04</v>
      </c>
      <c r="GN77">
        <f t="shared" si="86"/>
        <v>8120.04</v>
      </c>
      <c r="GO77">
        <f t="shared" si="87"/>
        <v>0</v>
      </c>
      <c r="GP77">
        <f t="shared" si="88"/>
        <v>0</v>
      </c>
      <c r="GR77">
        <v>0</v>
      </c>
      <c r="GS77">
        <v>3</v>
      </c>
      <c r="GT77">
        <v>0</v>
      </c>
      <c r="GU77" t="s">
        <v>3</v>
      </c>
      <c r="GV77">
        <f t="shared" si="89"/>
        <v>0</v>
      </c>
      <c r="GW77">
        <v>1</v>
      </c>
      <c r="GX77">
        <f t="shared" si="90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193</v>
      </c>
      <c r="E78" t="s">
        <v>235</v>
      </c>
      <c r="F78" t="s">
        <v>199</v>
      </c>
      <c r="G78" t="s">
        <v>200</v>
      </c>
      <c r="H78" t="s">
        <v>61</v>
      </c>
      <c r="I78">
        <f>I77*J78</f>
        <v>39.405999999999999</v>
      </c>
      <c r="J78">
        <v>103.69999999999999</v>
      </c>
      <c r="O78">
        <f t="shared" si="57"/>
        <v>14995.97</v>
      </c>
      <c r="P78">
        <f t="shared" si="58"/>
        <v>14995.97</v>
      </c>
      <c r="Q78">
        <f t="shared" si="59"/>
        <v>0</v>
      </c>
      <c r="R78">
        <f t="shared" si="60"/>
        <v>0</v>
      </c>
      <c r="S78">
        <f t="shared" si="61"/>
        <v>0</v>
      </c>
      <c r="T78">
        <f t="shared" si="62"/>
        <v>0</v>
      </c>
      <c r="U78">
        <f t="shared" si="63"/>
        <v>0</v>
      </c>
      <c r="V78">
        <f t="shared" si="64"/>
        <v>0</v>
      </c>
      <c r="W78">
        <f t="shared" si="65"/>
        <v>0</v>
      </c>
      <c r="X78">
        <f t="shared" si="66"/>
        <v>0</v>
      </c>
      <c r="Y78">
        <f t="shared" si="67"/>
        <v>0</v>
      </c>
      <c r="AA78">
        <v>39476960</v>
      </c>
      <c r="AB78">
        <f t="shared" si="68"/>
        <v>62.08</v>
      </c>
      <c r="AC78">
        <f t="shared" si="69"/>
        <v>62.08</v>
      </c>
      <c r="AD78">
        <f>ROUND((((ET78)-(EU78))+AE78),2)</f>
        <v>0</v>
      </c>
      <c r="AE78">
        <f t="shared" ref="AE78:AF82" si="96">ROUND((EU78),2)</f>
        <v>0</v>
      </c>
      <c r="AF78">
        <f t="shared" si="96"/>
        <v>0</v>
      </c>
      <c r="AG78">
        <f t="shared" si="70"/>
        <v>0</v>
      </c>
      <c r="AH78">
        <f t="shared" ref="AH78:AI82" si="97">(EW78)</f>
        <v>0</v>
      </c>
      <c r="AI78">
        <f t="shared" si="97"/>
        <v>0</v>
      </c>
      <c r="AJ78">
        <f t="shared" si="71"/>
        <v>0</v>
      </c>
      <c r="AK78">
        <v>62.08</v>
      </c>
      <c r="AL78">
        <v>62.08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95</v>
      </c>
      <c r="AU78">
        <v>47</v>
      </c>
      <c r="AV78">
        <v>1</v>
      </c>
      <c r="AW78">
        <v>1</v>
      </c>
      <c r="AZ78">
        <v>6.13</v>
      </c>
      <c r="BA78">
        <v>1</v>
      </c>
      <c r="BB78">
        <v>1</v>
      </c>
      <c r="BC78">
        <v>6.13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201</v>
      </c>
      <c r="BM78">
        <v>15001</v>
      </c>
      <c r="BN78">
        <v>0</v>
      </c>
      <c r="BO78" t="s">
        <v>3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105</v>
      </c>
      <c r="CA78">
        <v>55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72"/>
        <v>14995.97</v>
      </c>
      <c r="CQ78">
        <f t="shared" si="73"/>
        <v>380.55039999999997</v>
      </c>
      <c r="CR78">
        <f t="shared" si="74"/>
        <v>0</v>
      </c>
      <c r="CS78">
        <f t="shared" si="75"/>
        <v>0</v>
      </c>
      <c r="CT78">
        <f t="shared" si="76"/>
        <v>0</v>
      </c>
      <c r="CU78">
        <f t="shared" si="77"/>
        <v>0</v>
      </c>
      <c r="CV78">
        <f t="shared" si="78"/>
        <v>0</v>
      </c>
      <c r="CW78">
        <f t="shared" si="79"/>
        <v>0</v>
      </c>
      <c r="CX78">
        <f t="shared" si="80"/>
        <v>0</v>
      </c>
      <c r="CY78">
        <f t="shared" si="81"/>
        <v>0</v>
      </c>
      <c r="CZ78">
        <f t="shared" si="82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1005</v>
      </c>
      <c r="DV78" t="s">
        <v>61</v>
      </c>
      <c r="DW78" t="s">
        <v>61</v>
      </c>
      <c r="DX78">
        <v>1</v>
      </c>
      <c r="EE78">
        <v>39174529</v>
      </c>
      <c r="EF78">
        <v>2</v>
      </c>
      <c r="EG78" t="s">
        <v>13</v>
      </c>
      <c r="EH78">
        <v>0</v>
      </c>
      <c r="EI78" t="s">
        <v>3</v>
      </c>
      <c r="EJ78">
        <v>1</v>
      </c>
      <c r="EK78">
        <v>15001</v>
      </c>
      <c r="EL78" t="s">
        <v>123</v>
      </c>
      <c r="EM78" t="s">
        <v>124</v>
      </c>
      <c r="EO78" t="s">
        <v>3</v>
      </c>
      <c r="EQ78">
        <v>0</v>
      </c>
      <c r="ER78">
        <v>62.08</v>
      </c>
      <c r="ES78">
        <v>62.08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83"/>
        <v>0</v>
      </c>
      <c r="FS78">
        <v>0</v>
      </c>
      <c r="FT78" t="s">
        <v>29</v>
      </c>
      <c r="FU78" t="s">
        <v>30</v>
      </c>
      <c r="FX78">
        <v>94.5</v>
      </c>
      <c r="FY78">
        <v>46.75</v>
      </c>
      <c r="GA78" t="s">
        <v>3</v>
      </c>
      <c r="GD78">
        <v>0</v>
      </c>
      <c r="GF78">
        <v>238179070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84"/>
        <v>0</v>
      </c>
      <c r="GM78">
        <f t="shared" si="85"/>
        <v>14995.97</v>
      </c>
      <c r="GN78">
        <f t="shared" si="86"/>
        <v>14995.97</v>
      </c>
      <c r="GO78">
        <f t="shared" si="87"/>
        <v>0</v>
      </c>
      <c r="GP78">
        <f t="shared" si="88"/>
        <v>0</v>
      </c>
      <c r="GR78">
        <v>0</v>
      </c>
      <c r="GS78">
        <v>3</v>
      </c>
      <c r="GT78">
        <v>0</v>
      </c>
      <c r="GU78" t="s">
        <v>3</v>
      </c>
      <c r="GV78">
        <f t="shared" si="89"/>
        <v>0</v>
      </c>
      <c r="GW78">
        <v>1</v>
      </c>
      <c r="GX78">
        <f t="shared" si="90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C79">
        <v>188</v>
      </c>
      <c r="E79" t="s">
        <v>236</v>
      </c>
      <c r="F79" t="s">
        <v>220</v>
      </c>
      <c r="G79" t="s">
        <v>221</v>
      </c>
      <c r="H79" t="s">
        <v>61</v>
      </c>
      <c r="I79">
        <f>I77*J79</f>
        <v>39.405999999999999</v>
      </c>
      <c r="J79">
        <v>103.69999999999999</v>
      </c>
      <c r="O79">
        <f t="shared" si="57"/>
        <v>0</v>
      </c>
      <c r="P79">
        <f t="shared" si="58"/>
        <v>0</v>
      </c>
      <c r="Q79">
        <f t="shared" si="59"/>
        <v>0</v>
      </c>
      <c r="R79">
        <f t="shared" si="60"/>
        <v>0</v>
      </c>
      <c r="S79">
        <f t="shared" si="61"/>
        <v>0</v>
      </c>
      <c r="T79">
        <f t="shared" si="62"/>
        <v>0</v>
      </c>
      <c r="U79">
        <f t="shared" si="63"/>
        <v>0</v>
      </c>
      <c r="V79">
        <f t="shared" si="64"/>
        <v>0</v>
      </c>
      <c r="W79">
        <f t="shared" si="65"/>
        <v>0</v>
      </c>
      <c r="X79">
        <f t="shared" si="66"/>
        <v>0</v>
      </c>
      <c r="Y79">
        <f t="shared" si="67"/>
        <v>0</v>
      </c>
      <c r="AA79">
        <v>39476960</v>
      </c>
      <c r="AB79">
        <f t="shared" si="68"/>
        <v>0</v>
      </c>
      <c r="AC79">
        <f t="shared" si="69"/>
        <v>0</v>
      </c>
      <c r="AD79">
        <f>ROUND((((ET79)-(EU79))+AE79),2)</f>
        <v>0</v>
      </c>
      <c r="AE79">
        <f t="shared" si="96"/>
        <v>0</v>
      </c>
      <c r="AF79">
        <f t="shared" si="96"/>
        <v>0</v>
      </c>
      <c r="AG79">
        <f t="shared" si="70"/>
        <v>0</v>
      </c>
      <c r="AH79">
        <f t="shared" si="97"/>
        <v>0</v>
      </c>
      <c r="AI79">
        <f t="shared" si="97"/>
        <v>0</v>
      </c>
      <c r="AJ79">
        <f t="shared" si="71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6.13</v>
      </c>
      <c r="BA79">
        <v>1</v>
      </c>
      <c r="BB79">
        <v>1</v>
      </c>
      <c r="BC79">
        <v>6.13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3</v>
      </c>
      <c r="BM79">
        <v>15001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2"/>
        <v>0</v>
      </c>
      <c r="CQ79">
        <f t="shared" si="73"/>
        <v>0</v>
      </c>
      <c r="CR79">
        <f t="shared" si="74"/>
        <v>0</v>
      </c>
      <c r="CS79">
        <f t="shared" si="75"/>
        <v>0</v>
      </c>
      <c r="CT79">
        <f t="shared" si="76"/>
        <v>0</v>
      </c>
      <c r="CU79">
        <f t="shared" si="77"/>
        <v>0</v>
      </c>
      <c r="CV79">
        <f t="shared" si="78"/>
        <v>0</v>
      </c>
      <c r="CW79">
        <f t="shared" si="79"/>
        <v>0</v>
      </c>
      <c r="CX79">
        <f t="shared" si="80"/>
        <v>0</v>
      </c>
      <c r="CY79">
        <f t="shared" si="81"/>
        <v>0</v>
      </c>
      <c r="CZ79">
        <f t="shared" si="82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61</v>
      </c>
      <c r="DW79" t="s">
        <v>61</v>
      </c>
      <c r="DX79">
        <v>1</v>
      </c>
      <c r="EE79">
        <v>39174529</v>
      </c>
      <c r="EF79">
        <v>2</v>
      </c>
      <c r="EG79" t="s">
        <v>13</v>
      </c>
      <c r="EH79">
        <v>0</v>
      </c>
      <c r="EI79" t="s">
        <v>3</v>
      </c>
      <c r="EJ79">
        <v>1</v>
      </c>
      <c r="EK79">
        <v>15001</v>
      </c>
      <c r="EL79" t="s">
        <v>123</v>
      </c>
      <c r="EM79" t="s">
        <v>124</v>
      </c>
      <c r="EO79" t="s">
        <v>3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3"/>
        <v>0</v>
      </c>
      <c r="FS79">
        <v>0</v>
      </c>
      <c r="FT79" t="s">
        <v>29</v>
      </c>
      <c r="FU79" t="s">
        <v>30</v>
      </c>
      <c r="FX79">
        <v>94.5</v>
      </c>
      <c r="FY79">
        <v>46.75</v>
      </c>
      <c r="GA79" t="s">
        <v>3</v>
      </c>
      <c r="GD79">
        <v>0</v>
      </c>
      <c r="GF79">
        <v>-112006704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84"/>
        <v>0</v>
      </c>
      <c r="GM79">
        <f t="shared" si="85"/>
        <v>0</v>
      </c>
      <c r="GN79">
        <f t="shared" si="86"/>
        <v>0</v>
      </c>
      <c r="GO79">
        <f t="shared" si="87"/>
        <v>0</v>
      </c>
      <c r="GP79">
        <f t="shared" si="88"/>
        <v>0</v>
      </c>
      <c r="GR79">
        <v>0</v>
      </c>
      <c r="GS79">
        <v>3</v>
      </c>
      <c r="GT79">
        <v>0</v>
      </c>
      <c r="GU79" t="s">
        <v>3</v>
      </c>
      <c r="GV79">
        <f t="shared" si="89"/>
        <v>0</v>
      </c>
      <c r="GW79">
        <v>1</v>
      </c>
      <c r="GX79">
        <f t="shared" si="90"/>
        <v>0</v>
      </c>
      <c r="HA79">
        <v>0</v>
      </c>
      <c r="HB79">
        <v>0</v>
      </c>
      <c r="IK79">
        <v>0</v>
      </c>
    </row>
    <row r="80" spans="1:245" x14ac:dyDescent="0.2">
      <c r="A80">
        <v>17</v>
      </c>
      <c r="B80">
        <v>1</v>
      </c>
      <c r="C80">
        <f>ROW(SmtRes!A207)</f>
        <v>207</v>
      </c>
      <c r="D80">
        <f>ROW(EtalonRes!A195)</f>
        <v>195</v>
      </c>
      <c r="E80" t="s">
        <v>237</v>
      </c>
      <c r="F80" t="s">
        <v>238</v>
      </c>
      <c r="G80" t="s">
        <v>239</v>
      </c>
      <c r="H80" t="s">
        <v>17</v>
      </c>
      <c r="I80">
        <f>ROUND(15.6/100,9)</f>
        <v>0.156</v>
      </c>
      <c r="J80">
        <v>0</v>
      </c>
      <c r="O80">
        <f t="shared" si="57"/>
        <v>736.33</v>
      </c>
      <c r="P80">
        <f t="shared" si="58"/>
        <v>430.06</v>
      </c>
      <c r="Q80">
        <f t="shared" si="59"/>
        <v>6.76</v>
      </c>
      <c r="R80">
        <f t="shared" si="60"/>
        <v>1.96</v>
      </c>
      <c r="S80">
        <f t="shared" si="61"/>
        <v>299.51</v>
      </c>
      <c r="T80">
        <f t="shared" si="62"/>
        <v>0</v>
      </c>
      <c r="U80">
        <f t="shared" si="63"/>
        <v>5.6550000000000002</v>
      </c>
      <c r="V80">
        <f t="shared" si="64"/>
        <v>2.496E-2</v>
      </c>
      <c r="W80">
        <f t="shared" si="65"/>
        <v>0</v>
      </c>
      <c r="X80">
        <f t="shared" si="66"/>
        <v>241.18</v>
      </c>
      <c r="Y80">
        <f t="shared" si="67"/>
        <v>150.74</v>
      </c>
      <c r="AA80">
        <v>39476960</v>
      </c>
      <c r="AB80">
        <f t="shared" si="68"/>
        <v>769.99</v>
      </c>
      <c r="AC80">
        <f t="shared" si="69"/>
        <v>449.72</v>
      </c>
      <c r="AD80">
        <f>ROUND((((ET80)-(EU80))+AE80),2)</f>
        <v>7.07</v>
      </c>
      <c r="AE80">
        <f t="shared" si="96"/>
        <v>2.0499999999999998</v>
      </c>
      <c r="AF80">
        <f t="shared" si="96"/>
        <v>313.2</v>
      </c>
      <c r="AG80">
        <f t="shared" si="70"/>
        <v>0</v>
      </c>
      <c r="AH80">
        <f t="shared" si="97"/>
        <v>36.25</v>
      </c>
      <c r="AI80">
        <f t="shared" si="97"/>
        <v>0.16</v>
      </c>
      <c r="AJ80">
        <f t="shared" si="71"/>
        <v>0</v>
      </c>
      <c r="AK80">
        <v>769.99</v>
      </c>
      <c r="AL80">
        <v>449.72</v>
      </c>
      <c r="AM80">
        <v>7.07</v>
      </c>
      <c r="AN80">
        <v>2.0499999999999998</v>
      </c>
      <c r="AO80">
        <v>313.2</v>
      </c>
      <c r="AP80">
        <v>0</v>
      </c>
      <c r="AQ80">
        <v>36.25</v>
      </c>
      <c r="AR80">
        <v>0.16</v>
      </c>
      <c r="AS80">
        <v>0</v>
      </c>
      <c r="AT80">
        <v>80</v>
      </c>
      <c r="AU80">
        <v>50</v>
      </c>
      <c r="AV80">
        <v>1</v>
      </c>
      <c r="AW80">
        <v>1</v>
      </c>
      <c r="AZ80">
        <v>6.13</v>
      </c>
      <c r="BA80">
        <v>6.13</v>
      </c>
      <c r="BB80">
        <v>6.13</v>
      </c>
      <c r="BC80">
        <v>6.13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240</v>
      </c>
      <c r="BM80">
        <v>62001</v>
      </c>
      <c r="BN80">
        <v>0</v>
      </c>
      <c r="BO80" t="s">
        <v>3</v>
      </c>
      <c r="BP80">
        <v>0</v>
      </c>
      <c r="BQ80">
        <v>6</v>
      </c>
      <c r="BR80">
        <v>0</v>
      </c>
      <c r="BS80">
        <v>6.13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80</v>
      </c>
      <c r="CA80">
        <v>50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72"/>
        <v>736.32999999999993</v>
      </c>
      <c r="CQ80">
        <f t="shared" si="73"/>
        <v>2756.7836000000002</v>
      </c>
      <c r="CR80">
        <f t="shared" si="74"/>
        <v>43.339100000000002</v>
      </c>
      <c r="CS80">
        <f t="shared" si="75"/>
        <v>12.5665</v>
      </c>
      <c r="CT80">
        <f t="shared" si="76"/>
        <v>1919.9159999999999</v>
      </c>
      <c r="CU80">
        <f t="shared" si="77"/>
        <v>0</v>
      </c>
      <c r="CV80">
        <f t="shared" si="78"/>
        <v>36.25</v>
      </c>
      <c r="CW80">
        <f t="shared" si="79"/>
        <v>0.16</v>
      </c>
      <c r="CX80">
        <f t="shared" si="80"/>
        <v>0</v>
      </c>
      <c r="CY80">
        <f t="shared" si="81"/>
        <v>241.17599999999999</v>
      </c>
      <c r="CZ80">
        <f t="shared" si="82"/>
        <v>150.73499999999999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1005</v>
      </c>
      <c r="DV80" t="s">
        <v>17</v>
      </c>
      <c r="DW80" t="s">
        <v>17</v>
      </c>
      <c r="DX80">
        <v>100</v>
      </c>
      <c r="EE80">
        <v>39174587</v>
      </c>
      <c r="EF80">
        <v>6</v>
      </c>
      <c r="EG80" t="s">
        <v>19</v>
      </c>
      <c r="EH80">
        <v>0</v>
      </c>
      <c r="EI80" t="s">
        <v>3</v>
      </c>
      <c r="EJ80">
        <v>1</v>
      </c>
      <c r="EK80">
        <v>62001</v>
      </c>
      <c r="EL80" t="s">
        <v>241</v>
      </c>
      <c r="EM80" t="s">
        <v>242</v>
      </c>
      <c r="EO80" t="s">
        <v>3</v>
      </c>
      <c r="EQ80">
        <v>0</v>
      </c>
      <c r="ER80">
        <v>769.99</v>
      </c>
      <c r="ES80">
        <v>449.72</v>
      </c>
      <c r="ET80">
        <v>7.07</v>
      </c>
      <c r="EU80">
        <v>2.0499999999999998</v>
      </c>
      <c r="EV80">
        <v>313.2</v>
      </c>
      <c r="EW80">
        <v>36.25</v>
      </c>
      <c r="EX80">
        <v>0.16</v>
      </c>
      <c r="EY80">
        <v>0</v>
      </c>
      <c r="FQ80">
        <v>0</v>
      </c>
      <c r="FR80">
        <f t="shared" si="83"/>
        <v>0</v>
      </c>
      <c r="FS80">
        <v>0</v>
      </c>
      <c r="FX80">
        <v>80</v>
      </c>
      <c r="FY80">
        <v>50</v>
      </c>
      <c r="GA80" t="s">
        <v>3</v>
      </c>
      <c r="GD80">
        <v>0</v>
      </c>
      <c r="GF80">
        <v>-382248157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84"/>
        <v>0</v>
      </c>
      <c r="GM80">
        <f t="shared" si="85"/>
        <v>1128.25</v>
      </c>
      <c r="GN80">
        <f t="shared" si="86"/>
        <v>1128.25</v>
      </c>
      <c r="GO80">
        <f t="shared" si="87"/>
        <v>0</v>
      </c>
      <c r="GP80">
        <f t="shared" si="88"/>
        <v>0</v>
      </c>
      <c r="GR80">
        <v>0</v>
      </c>
      <c r="GS80">
        <v>3</v>
      </c>
      <c r="GT80">
        <v>0</v>
      </c>
      <c r="GU80" t="s">
        <v>3</v>
      </c>
      <c r="GV80">
        <f t="shared" si="89"/>
        <v>0</v>
      </c>
      <c r="GW80">
        <v>1</v>
      </c>
      <c r="GX80">
        <f t="shared" si="90"/>
        <v>0</v>
      </c>
      <c r="HA80">
        <v>0</v>
      </c>
      <c r="HB80">
        <v>0</v>
      </c>
      <c r="IK80">
        <v>0</v>
      </c>
    </row>
    <row r="81" spans="1:245" x14ac:dyDescent="0.2">
      <c r="A81">
        <v>18</v>
      </c>
      <c r="B81">
        <v>1</v>
      </c>
      <c r="C81">
        <v>206</v>
      </c>
      <c r="E81" t="s">
        <v>243</v>
      </c>
      <c r="F81" t="s">
        <v>244</v>
      </c>
      <c r="G81" t="s">
        <v>245</v>
      </c>
      <c r="H81" t="s">
        <v>34</v>
      </c>
      <c r="I81">
        <f>I80*J81</f>
        <v>1.0451999999999998E-2</v>
      </c>
      <c r="J81">
        <v>6.699999999999999E-2</v>
      </c>
      <c r="O81">
        <f t="shared" si="57"/>
        <v>279.2</v>
      </c>
      <c r="P81">
        <f t="shared" si="58"/>
        <v>279.2</v>
      </c>
      <c r="Q81">
        <f t="shared" si="59"/>
        <v>0</v>
      </c>
      <c r="R81">
        <f t="shared" si="60"/>
        <v>0</v>
      </c>
      <c r="S81">
        <f t="shared" si="61"/>
        <v>0</v>
      </c>
      <c r="T81">
        <f t="shared" si="62"/>
        <v>0</v>
      </c>
      <c r="U81">
        <f t="shared" si="63"/>
        <v>0</v>
      </c>
      <c r="V81">
        <f t="shared" si="64"/>
        <v>0</v>
      </c>
      <c r="W81">
        <f t="shared" si="65"/>
        <v>0</v>
      </c>
      <c r="X81">
        <f t="shared" si="66"/>
        <v>0</v>
      </c>
      <c r="Y81">
        <f t="shared" si="67"/>
        <v>0</v>
      </c>
      <c r="AA81">
        <v>39476960</v>
      </c>
      <c r="AB81">
        <f t="shared" si="68"/>
        <v>4357.6499999999996</v>
      </c>
      <c r="AC81">
        <f t="shared" si="69"/>
        <v>4357.6499999999996</v>
      </c>
      <c r="AD81">
        <f>ROUND((((ET81)-(EU81))+AE81),2)</f>
        <v>0</v>
      </c>
      <c r="AE81">
        <f t="shared" si="96"/>
        <v>0</v>
      </c>
      <c r="AF81">
        <f t="shared" si="96"/>
        <v>0</v>
      </c>
      <c r="AG81">
        <f t="shared" si="70"/>
        <v>0</v>
      </c>
      <c r="AH81">
        <f t="shared" si="97"/>
        <v>0</v>
      </c>
      <c r="AI81">
        <f t="shared" si="97"/>
        <v>0</v>
      </c>
      <c r="AJ81">
        <f t="shared" si="71"/>
        <v>0</v>
      </c>
      <c r="AK81">
        <v>4357.6499999999996</v>
      </c>
      <c r="AL81">
        <v>4357.6499999999996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80</v>
      </c>
      <c r="AU81">
        <v>50</v>
      </c>
      <c r="AV81">
        <v>1</v>
      </c>
      <c r="AW81">
        <v>1</v>
      </c>
      <c r="AZ81">
        <v>6.13</v>
      </c>
      <c r="BA81">
        <v>1</v>
      </c>
      <c r="BB81">
        <v>1</v>
      </c>
      <c r="BC81">
        <v>6.13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246</v>
      </c>
      <c r="BM81">
        <v>62001</v>
      </c>
      <c r="BN81">
        <v>0</v>
      </c>
      <c r="BO81" t="s">
        <v>3</v>
      </c>
      <c r="BP81">
        <v>0</v>
      </c>
      <c r="BQ81">
        <v>6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80</v>
      </c>
      <c r="CA81">
        <v>50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2"/>
        <v>279.2</v>
      </c>
      <c r="CQ81">
        <f t="shared" si="73"/>
        <v>26712.394499999999</v>
      </c>
      <c r="CR81">
        <f t="shared" si="74"/>
        <v>0</v>
      </c>
      <c r="CS81">
        <f t="shared" si="75"/>
        <v>0</v>
      </c>
      <c r="CT81">
        <f t="shared" si="76"/>
        <v>0</v>
      </c>
      <c r="CU81">
        <f t="shared" si="77"/>
        <v>0</v>
      </c>
      <c r="CV81">
        <f t="shared" si="78"/>
        <v>0</v>
      </c>
      <c r="CW81">
        <f t="shared" si="79"/>
        <v>0</v>
      </c>
      <c r="CX81">
        <f t="shared" si="80"/>
        <v>0</v>
      </c>
      <c r="CY81">
        <f t="shared" si="81"/>
        <v>0</v>
      </c>
      <c r="CZ81">
        <f t="shared" si="82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34</v>
      </c>
      <c r="DW81" t="s">
        <v>34</v>
      </c>
      <c r="DX81">
        <v>1000</v>
      </c>
      <c r="EE81">
        <v>39174587</v>
      </c>
      <c r="EF81">
        <v>6</v>
      </c>
      <c r="EG81" t="s">
        <v>19</v>
      </c>
      <c r="EH81">
        <v>0</v>
      </c>
      <c r="EI81" t="s">
        <v>3</v>
      </c>
      <c r="EJ81">
        <v>1</v>
      </c>
      <c r="EK81">
        <v>62001</v>
      </c>
      <c r="EL81" t="s">
        <v>241</v>
      </c>
      <c r="EM81" t="s">
        <v>242</v>
      </c>
      <c r="EO81" t="s">
        <v>3</v>
      </c>
      <c r="EQ81">
        <v>0</v>
      </c>
      <c r="ER81">
        <v>4357.6499999999996</v>
      </c>
      <c r="ES81">
        <v>4357.6499999999996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3"/>
        <v>0</v>
      </c>
      <c r="FS81">
        <v>0</v>
      </c>
      <c r="FX81">
        <v>80</v>
      </c>
      <c r="FY81">
        <v>50</v>
      </c>
      <c r="GA81" t="s">
        <v>3</v>
      </c>
      <c r="GD81">
        <v>0</v>
      </c>
      <c r="GF81">
        <v>-138399381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84"/>
        <v>0</v>
      </c>
      <c r="GM81">
        <f t="shared" si="85"/>
        <v>279.2</v>
      </c>
      <c r="GN81">
        <f t="shared" si="86"/>
        <v>279.2</v>
      </c>
      <c r="GO81">
        <f t="shared" si="87"/>
        <v>0</v>
      </c>
      <c r="GP81">
        <f t="shared" si="88"/>
        <v>0</v>
      </c>
      <c r="GR81">
        <v>0</v>
      </c>
      <c r="GS81">
        <v>3</v>
      </c>
      <c r="GT81">
        <v>0</v>
      </c>
      <c r="GU81" t="s">
        <v>3</v>
      </c>
      <c r="GV81">
        <f t="shared" si="89"/>
        <v>0</v>
      </c>
      <c r="GW81">
        <v>1</v>
      </c>
      <c r="GX81">
        <f t="shared" si="90"/>
        <v>0</v>
      </c>
      <c r="HA81">
        <v>0</v>
      </c>
      <c r="HB81">
        <v>0</v>
      </c>
      <c r="IK81">
        <v>0</v>
      </c>
    </row>
    <row r="82" spans="1:245" x14ac:dyDescent="0.2">
      <c r="A82">
        <v>18</v>
      </c>
      <c r="B82">
        <v>1</v>
      </c>
      <c r="C82">
        <v>205</v>
      </c>
      <c r="E82" t="s">
        <v>247</v>
      </c>
      <c r="F82" t="s">
        <v>248</v>
      </c>
      <c r="G82" t="s">
        <v>249</v>
      </c>
      <c r="H82" t="s">
        <v>34</v>
      </c>
      <c r="I82">
        <f>I80*J82</f>
        <v>1.0451999999999998E-2</v>
      </c>
      <c r="J82">
        <v>6.699999999999999E-2</v>
      </c>
      <c r="O82">
        <f t="shared" si="57"/>
        <v>0</v>
      </c>
      <c r="P82">
        <f t="shared" si="58"/>
        <v>0</v>
      </c>
      <c r="Q82">
        <f t="shared" si="59"/>
        <v>0</v>
      </c>
      <c r="R82">
        <f t="shared" si="60"/>
        <v>0</v>
      </c>
      <c r="S82">
        <f t="shared" si="61"/>
        <v>0</v>
      </c>
      <c r="T82">
        <f t="shared" si="62"/>
        <v>0</v>
      </c>
      <c r="U82">
        <f t="shared" si="63"/>
        <v>0</v>
      </c>
      <c r="V82">
        <f t="shared" si="64"/>
        <v>0</v>
      </c>
      <c r="W82">
        <f t="shared" si="65"/>
        <v>0</v>
      </c>
      <c r="X82">
        <f t="shared" si="66"/>
        <v>0</v>
      </c>
      <c r="Y82">
        <f t="shared" si="67"/>
        <v>0</v>
      </c>
      <c r="AA82">
        <v>39476960</v>
      </c>
      <c r="AB82">
        <f t="shared" si="68"/>
        <v>0</v>
      </c>
      <c r="AC82">
        <f t="shared" si="69"/>
        <v>0</v>
      </c>
      <c r="AD82">
        <f>ROUND((((ET82)-(EU82))+AE82),2)</f>
        <v>0</v>
      </c>
      <c r="AE82">
        <f t="shared" si="96"/>
        <v>0</v>
      </c>
      <c r="AF82">
        <f t="shared" si="96"/>
        <v>0</v>
      </c>
      <c r="AG82">
        <f t="shared" si="70"/>
        <v>0</v>
      </c>
      <c r="AH82">
        <f t="shared" si="97"/>
        <v>0</v>
      </c>
      <c r="AI82">
        <f t="shared" si="97"/>
        <v>0</v>
      </c>
      <c r="AJ82">
        <f t="shared" si="71"/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80</v>
      </c>
      <c r="AU82">
        <v>50</v>
      </c>
      <c r="AV82">
        <v>1</v>
      </c>
      <c r="AW82">
        <v>1</v>
      </c>
      <c r="AZ82">
        <v>6.13</v>
      </c>
      <c r="BA82">
        <v>1</v>
      </c>
      <c r="BB82">
        <v>1</v>
      </c>
      <c r="BC82">
        <v>6.13</v>
      </c>
      <c r="BD82" t="s">
        <v>3</v>
      </c>
      <c r="BE82" t="s">
        <v>3</v>
      </c>
      <c r="BF82" t="s">
        <v>3</v>
      </c>
      <c r="BG82" t="s">
        <v>3</v>
      </c>
      <c r="BH82">
        <v>3</v>
      </c>
      <c r="BI82">
        <v>1</v>
      </c>
      <c r="BJ82" t="s">
        <v>3</v>
      </c>
      <c r="BM82">
        <v>62001</v>
      </c>
      <c r="BN82">
        <v>0</v>
      </c>
      <c r="BO82" t="s">
        <v>3</v>
      </c>
      <c r="BP82">
        <v>0</v>
      </c>
      <c r="BQ82">
        <v>6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80</v>
      </c>
      <c r="CA82">
        <v>50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72"/>
        <v>0</v>
      </c>
      <c r="CQ82">
        <f t="shared" si="73"/>
        <v>0</v>
      </c>
      <c r="CR82">
        <f t="shared" si="74"/>
        <v>0</v>
      </c>
      <c r="CS82">
        <f t="shared" si="75"/>
        <v>0</v>
      </c>
      <c r="CT82">
        <f t="shared" si="76"/>
        <v>0</v>
      </c>
      <c r="CU82">
        <f t="shared" si="77"/>
        <v>0</v>
      </c>
      <c r="CV82">
        <f t="shared" si="78"/>
        <v>0</v>
      </c>
      <c r="CW82">
        <f t="shared" si="79"/>
        <v>0</v>
      </c>
      <c r="CX82">
        <f t="shared" si="80"/>
        <v>0</v>
      </c>
      <c r="CY82">
        <f t="shared" si="81"/>
        <v>0</v>
      </c>
      <c r="CZ82">
        <f t="shared" si="82"/>
        <v>0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1009</v>
      </c>
      <c r="DV82" t="s">
        <v>34</v>
      </c>
      <c r="DW82" t="s">
        <v>34</v>
      </c>
      <c r="DX82">
        <v>1000</v>
      </c>
      <c r="EE82">
        <v>39174587</v>
      </c>
      <c r="EF82">
        <v>6</v>
      </c>
      <c r="EG82" t="s">
        <v>19</v>
      </c>
      <c r="EH82">
        <v>0</v>
      </c>
      <c r="EI82" t="s">
        <v>3</v>
      </c>
      <c r="EJ82">
        <v>1</v>
      </c>
      <c r="EK82">
        <v>62001</v>
      </c>
      <c r="EL82" t="s">
        <v>241</v>
      </c>
      <c r="EM82" t="s">
        <v>242</v>
      </c>
      <c r="EO82" t="s">
        <v>3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83"/>
        <v>0</v>
      </c>
      <c r="FS82">
        <v>0</v>
      </c>
      <c r="FX82">
        <v>80</v>
      </c>
      <c r="FY82">
        <v>50</v>
      </c>
      <c r="GA82" t="s">
        <v>3</v>
      </c>
      <c r="GD82">
        <v>0</v>
      </c>
      <c r="GF82">
        <v>1891904026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84"/>
        <v>0</v>
      </c>
      <c r="GM82">
        <f t="shared" si="85"/>
        <v>0</v>
      </c>
      <c r="GN82">
        <f t="shared" si="86"/>
        <v>0</v>
      </c>
      <c r="GO82">
        <f t="shared" si="87"/>
        <v>0</v>
      </c>
      <c r="GP82">
        <f t="shared" si="88"/>
        <v>0</v>
      </c>
      <c r="GR82">
        <v>0</v>
      </c>
      <c r="GS82">
        <v>3</v>
      </c>
      <c r="GT82">
        <v>0</v>
      </c>
      <c r="GU82" t="s">
        <v>3</v>
      </c>
      <c r="GV82">
        <f t="shared" si="89"/>
        <v>0</v>
      </c>
      <c r="GW82">
        <v>1</v>
      </c>
      <c r="GX82">
        <f t="shared" si="90"/>
        <v>0</v>
      </c>
      <c r="HA82">
        <v>0</v>
      </c>
      <c r="HB82">
        <v>0</v>
      </c>
      <c r="IK82">
        <v>0</v>
      </c>
    </row>
    <row r="83" spans="1:245" x14ac:dyDescent="0.2">
      <c r="A83">
        <v>17</v>
      </c>
      <c r="B83">
        <v>1</v>
      </c>
      <c r="C83">
        <f>ROW(SmtRes!A215)</f>
        <v>215</v>
      </c>
      <c r="D83">
        <f>ROW(EtalonRes!A202)</f>
        <v>202</v>
      </c>
      <c r="E83" t="s">
        <v>250</v>
      </c>
      <c r="F83" t="s">
        <v>251</v>
      </c>
      <c r="G83" t="s">
        <v>252</v>
      </c>
      <c r="H83" t="s">
        <v>25</v>
      </c>
      <c r="I83">
        <v>2.6</v>
      </c>
      <c r="J83">
        <v>0</v>
      </c>
      <c r="O83">
        <f t="shared" si="57"/>
        <v>3742.57</v>
      </c>
      <c r="P83">
        <f t="shared" si="58"/>
        <v>1964.04</v>
      </c>
      <c r="Q83">
        <f t="shared" si="59"/>
        <v>826.23</v>
      </c>
      <c r="R83">
        <f t="shared" si="60"/>
        <v>129.1</v>
      </c>
      <c r="S83">
        <f t="shared" si="61"/>
        <v>952.3</v>
      </c>
      <c r="T83">
        <f t="shared" si="62"/>
        <v>0</v>
      </c>
      <c r="U83">
        <f t="shared" si="63"/>
        <v>18.693479999999997</v>
      </c>
      <c r="V83">
        <f t="shared" si="64"/>
        <v>1.56</v>
      </c>
      <c r="W83">
        <f t="shared" si="65"/>
        <v>0</v>
      </c>
      <c r="X83">
        <f t="shared" si="66"/>
        <v>1189.54</v>
      </c>
      <c r="Y83">
        <f t="shared" si="67"/>
        <v>735.35</v>
      </c>
      <c r="AA83">
        <v>39476960</v>
      </c>
      <c r="AB83">
        <f t="shared" si="68"/>
        <v>234.82</v>
      </c>
      <c r="AC83">
        <f t="shared" si="69"/>
        <v>123.23</v>
      </c>
      <c r="AD83">
        <f>ROUND((((((ET83*1.25)*1.2))-(((EU83*1.25)*1.2)))+AE83),2)</f>
        <v>51.84</v>
      </c>
      <c r="AE83">
        <f>ROUND((((EU83*1.25)*1.2)),2)</f>
        <v>8.1</v>
      </c>
      <c r="AF83">
        <f>ROUND((((EV83*1.15)*1.2)),2)</f>
        <v>59.75</v>
      </c>
      <c r="AG83">
        <f t="shared" si="70"/>
        <v>0</v>
      </c>
      <c r="AH83">
        <f>(((EW83*1.15)*1.2))</f>
        <v>7.1897999999999991</v>
      </c>
      <c r="AI83">
        <f>(((EX83*1.25)*1.2))</f>
        <v>0.6</v>
      </c>
      <c r="AJ83">
        <f t="shared" si="71"/>
        <v>0</v>
      </c>
      <c r="AK83">
        <v>201.09</v>
      </c>
      <c r="AL83">
        <v>123.23</v>
      </c>
      <c r="AM83">
        <v>34.56</v>
      </c>
      <c r="AN83">
        <v>5.4</v>
      </c>
      <c r="AO83">
        <v>43.3</v>
      </c>
      <c r="AP83">
        <v>0</v>
      </c>
      <c r="AQ83">
        <v>5.21</v>
      </c>
      <c r="AR83">
        <v>0.4</v>
      </c>
      <c r="AS83">
        <v>0</v>
      </c>
      <c r="AT83">
        <v>110</v>
      </c>
      <c r="AU83">
        <v>68</v>
      </c>
      <c r="AV83">
        <v>1</v>
      </c>
      <c r="AW83">
        <v>1</v>
      </c>
      <c r="AZ83">
        <v>6.13</v>
      </c>
      <c r="BA83">
        <v>6.13</v>
      </c>
      <c r="BB83">
        <v>6.13</v>
      </c>
      <c r="BC83">
        <v>6.13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253</v>
      </c>
      <c r="BM83">
        <v>8001</v>
      </c>
      <c r="BN83">
        <v>0</v>
      </c>
      <c r="BO83" t="s">
        <v>3</v>
      </c>
      <c r="BP83">
        <v>0</v>
      </c>
      <c r="BQ83">
        <v>2</v>
      </c>
      <c r="BR83">
        <v>0</v>
      </c>
      <c r="BS83">
        <v>6.13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122</v>
      </c>
      <c r="CA83">
        <v>80</v>
      </c>
      <c r="CF83">
        <v>0</v>
      </c>
      <c r="CG83">
        <v>0</v>
      </c>
      <c r="CM83">
        <v>0</v>
      </c>
      <c r="CN83" t="s">
        <v>1274</v>
      </c>
      <c r="CO83">
        <v>0</v>
      </c>
      <c r="CP83">
        <f t="shared" si="72"/>
        <v>3742.5699999999997</v>
      </c>
      <c r="CQ83">
        <f t="shared" si="73"/>
        <v>755.3999</v>
      </c>
      <c r="CR83">
        <f t="shared" si="74"/>
        <v>317.7792</v>
      </c>
      <c r="CS83">
        <f t="shared" si="75"/>
        <v>49.652999999999999</v>
      </c>
      <c r="CT83">
        <f t="shared" si="76"/>
        <v>366.26749999999998</v>
      </c>
      <c r="CU83">
        <f t="shared" si="77"/>
        <v>0</v>
      </c>
      <c r="CV83">
        <f t="shared" si="78"/>
        <v>7.1897999999999991</v>
      </c>
      <c r="CW83">
        <f t="shared" si="79"/>
        <v>0.6</v>
      </c>
      <c r="CX83">
        <f t="shared" si="80"/>
        <v>0</v>
      </c>
      <c r="CY83">
        <f t="shared" si="81"/>
        <v>1189.54</v>
      </c>
      <c r="CZ83">
        <f t="shared" si="82"/>
        <v>735.35199999999998</v>
      </c>
      <c r="DC83" t="s">
        <v>3</v>
      </c>
      <c r="DD83" t="s">
        <v>3</v>
      </c>
      <c r="DE83" t="s">
        <v>53</v>
      </c>
      <c r="DF83" t="s">
        <v>53</v>
      </c>
      <c r="DG83" t="s">
        <v>54</v>
      </c>
      <c r="DH83" t="s">
        <v>3</v>
      </c>
      <c r="DI83" t="s">
        <v>54</v>
      </c>
      <c r="DJ83" t="s">
        <v>53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25</v>
      </c>
      <c r="DW83" t="s">
        <v>25</v>
      </c>
      <c r="DX83">
        <v>1</v>
      </c>
      <c r="EE83">
        <v>39174501</v>
      </c>
      <c r="EF83">
        <v>2</v>
      </c>
      <c r="EG83" t="s">
        <v>13</v>
      </c>
      <c r="EH83">
        <v>0</v>
      </c>
      <c r="EI83" t="s">
        <v>3</v>
      </c>
      <c r="EJ83">
        <v>1</v>
      </c>
      <c r="EK83">
        <v>8001</v>
      </c>
      <c r="EL83" t="s">
        <v>254</v>
      </c>
      <c r="EM83" t="s">
        <v>255</v>
      </c>
      <c r="EO83" t="s">
        <v>89</v>
      </c>
      <c r="EQ83">
        <v>0</v>
      </c>
      <c r="ER83">
        <v>201.09</v>
      </c>
      <c r="ES83">
        <v>123.23</v>
      </c>
      <c r="ET83">
        <v>34.56</v>
      </c>
      <c r="EU83">
        <v>5.4</v>
      </c>
      <c r="EV83">
        <v>43.3</v>
      </c>
      <c r="EW83">
        <v>5.21</v>
      </c>
      <c r="EX83">
        <v>0.4</v>
      </c>
      <c r="EY83">
        <v>0</v>
      </c>
      <c r="FQ83">
        <v>0</v>
      </c>
      <c r="FR83">
        <f t="shared" si="83"/>
        <v>0</v>
      </c>
      <c r="FS83">
        <v>0</v>
      </c>
      <c r="FT83" t="s">
        <v>29</v>
      </c>
      <c r="FU83" t="s">
        <v>30</v>
      </c>
      <c r="FX83">
        <v>109.8</v>
      </c>
      <c r="FY83">
        <v>68</v>
      </c>
      <c r="GA83" t="s">
        <v>3</v>
      </c>
      <c r="GD83">
        <v>0</v>
      </c>
      <c r="GF83">
        <v>-678717273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84"/>
        <v>0</v>
      </c>
      <c r="GM83">
        <f t="shared" si="85"/>
        <v>5667.46</v>
      </c>
      <c r="GN83">
        <f t="shared" si="86"/>
        <v>5667.46</v>
      </c>
      <c r="GO83">
        <f t="shared" si="87"/>
        <v>0</v>
      </c>
      <c r="GP83">
        <f t="shared" si="88"/>
        <v>0</v>
      </c>
      <c r="GR83">
        <v>0</v>
      </c>
      <c r="GS83">
        <v>3</v>
      </c>
      <c r="GT83">
        <v>0</v>
      </c>
      <c r="GU83" t="s">
        <v>3</v>
      </c>
      <c r="GV83">
        <f t="shared" si="89"/>
        <v>0</v>
      </c>
      <c r="GW83">
        <v>1</v>
      </c>
      <c r="GX83">
        <f t="shared" si="90"/>
        <v>0</v>
      </c>
      <c r="HA83">
        <v>0</v>
      </c>
      <c r="HB83">
        <v>0</v>
      </c>
      <c r="IK83">
        <v>0</v>
      </c>
    </row>
    <row r="84" spans="1:245" x14ac:dyDescent="0.2">
      <c r="A84">
        <v>18</v>
      </c>
      <c r="B84">
        <v>1</v>
      </c>
      <c r="C84">
        <v>213</v>
      </c>
      <c r="E84" t="s">
        <v>256</v>
      </c>
      <c r="F84" t="s">
        <v>257</v>
      </c>
      <c r="G84" t="s">
        <v>258</v>
      </c>
      <c r="H84" t="s">
        <v>259</v>
      </c>
      <c r="I84">
        <f>I83*J84</f>
        <v>1.0269999999999999</v>
      </c>
      <c r="J84">
        <v>0.39499999999999996</v>
      </c>
      <c r="O84">
        <f t="shared" si="57"/>
        <v>14014.43</v>
      </c>
      <c r="P84">
        <f t="shared" si="58"/>
        <v>14014.43</v>
      </c>
      <c r="Q84">
        <f t="shared" si="59"/>
        <v>0</v>
      </c>
      <c r="R84">
        <f t="shared" si="60"/>
        <v>0</v>
      </c>
      <c r="S84">
        <f t="shared" si="61"/>
        <v>0</v>
      </c>
      <c r="T84">
        <f t="shared" si="62"/>
        <v>0</v>
      </c>
      <c r="U84">
        <f t="shared" si="63"/>
        <v>0</v>
      </c>
      <c r="V84">
        <f t="shared" si="64"/>
        <v>0</v>
      </c>
      <c r="W84">
        <f t="shared" si="65"/>
        <v>0</v>
      </c>
      <c r="X84">
        <f t="shared" si="66"/>
        <v>0</v>
      </c>
      <c r="Y84">
        <f t="shared" si="67"/>
        <v>0</v>
      </c>
      <c r="AA84">
        <v>39476960</v>
      </c>
      <c r="AB84">
        <f t="shared" si="68"/>
        <v>2226.1</v>
      </c>
      <c r="AC84">
        <f t="shared" si="69"/>
        <v>2226.1</v>
      </c>
      <c r="AD84">
        <f>ROUND((((ET84)-(EU84))+AE84),2)</f>
        <v>0</v>
      </c>
      <c r="AE84">
        <f>ROUND((EU84),2)</f>
        <v>0</v>
      </c>
      <c r="AF84">
        <f>ROUND((EV84),2)</f>
        <v>0</v>
      </c>
      <c r="AG84">
        <f t="shared" si="70"/>
        <v>0</v>
      </c>
      <c r="AH84">
        <f>(EW84)</f>
        <v>0</v>
      </c>
      <c r="AI84">
        <f>(EX84)</f>
        <v>0</v>
      </c>
      <c r="AJ84">
        <f t="shared" si="71"/>
        <v>0</v>
      </c>
      <c r="AK84">
        <v>2226.1</v>
      </c>
      <c r="AL84">
        <v>2226.1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110</v>
      </c>
      <c r="AU84">
        <v>68</v>
      </c>
      <c r="AV84">
        <v>1</v>
      </c>
      <c r="AW84">
        <v>1</v>
      </c>
      <c r="AZ84">
        <v>6.13</v>
      </c>
      <c r="BA84">
        <v>1</v>
      </c>
      <c r="BB84">
        <v>1</v>
      </c>
      <c r="BC84">
        <v>6.13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260</v>
      </c>
      <c r="BM84">
        <v>8001</v>
      </c>
      <c r="BN84">
        <v>0</v>
      </c>
      <c r="BO84" t="s">
        <v>3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122</v>
      </c>
      <c r="CA84">
        <v>80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72"/>
        <v>14014.43</v>
      </c>
      <c r="CQ84">
        <f t="shared" si="73"/>
        <v>13645.992999999999</v>
      </c>
      <c r="CR84">
        <f t="shared" si="74"/>
        <v>0</v>
      </c>
      <c r="CS84">
        <f t="shared" si="75"/>
        <v>0</v>
      </c>
      <c r="CT84">
        <f t="shared" si="76"/>
        <v>0</v>
      </c>
      <c r="CU84">
        <f t="shared" si="77"/>
        <v>0</v>
      </c>
      <c r="CV84">
        <f t="shared" si="78"/>
        <v>0</v>
      </c>
      <c r="CW84">
        <f t="shared" si="79"/>
        <v>0</v>
      </c>
      <c r="CX84">
        <f t="shared" si="80"/>
        <v>0</v>
      </c>
      <c r="CY84">
        <f t="shared" si="81"/>
        <v>0</v>
      </c>
      <c r="CZ84">
        <f t="shared" si="82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1010</v>
      </c>
      <c r="DV84" t="s">
        <v>259</v>
      </c>
      <c r="DW84" t="s">
        <v>259</v>
      </c>
      <c r="DX84">
        <v>1000</v>
      </c>
      <c r="EE84">
        <v>39174501</v>
      </c>
      <c r="EF84">
        <v>2</v>
      </c>
      <c r="EG84" t="s">
        <v>13</v>
      </c>
      <c r="EH84">
        <v>0</v>
      </c>
      <c r="EI84" t="s">
        <v>3</v>
      </c>
      <c r="EJ84">
        <v>1</v>
      </c>
      <c r="EK84">
        <v>8001</v>
      </c>
      <c r="EL84" t="s">
        <v>254</v>
      </c>
      <c r="EM84" t="s">
        <v>255</v>
      </c>
      <c r="EO84" t="s">
        <v>3</v>
      </c>
      <c r="EQ84">
        <v>0</v>
      </c>
      <c r="ER84">
        <v>2226.1</v>
      </c>
      <c r="ES84">
        <v>2226.1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83"/>
        <v>0</v>
      </c>
      <c r="FS84">
        <v>0</v>
      </c>
      <c r="FT84" t="s">
        <v>29</v>
      </c>
      <c r="FU84" t="s">
        <v>30</v>
      </c>
      <c r="FX84">
        <v>109.8</v>
      </c>
      <c r="FY84">
        <v>68</v>
      </c>
      <c r="GA84" t="s">
        <v>3</v>
      </c>
      <c r="GD84">
        <v>0</v>
      </c>
      <c r="GF84">
        <v>1329584455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84"/>
        <v>0</v>
      </c>
      <c r="GM84">
        <f t="shared" si="85"/>
        <v>14014.43</v>
      </c>
      <c r="GN84">
        <f t="shared" si="86"/>
        <v>14014.43</v>
      </c>
      <c r="GO84">
        <f t="shared" si="87"/>
        <v>0</v>
      </c>
      <c r="GP84">
        <f t="shared" si="88"/>
        <v>0</v>
      </c>
      <c r="GR84">
        <v>0</v>
      </c>
      <c r="GS84">
        <v>3</v>
      </c>
      <c r="GT84">
        <v>0</v>
      </c>
      <c r="GU84" t="s">
        <v>3</v>
      </c>
      <c r="GV84">
        <f t="shared" si="89"/>
        <v>0</v>
      </c>
      <c r="GW84">
        <v>1</v>
      </c>
      <c r="GX84">
        <f t="shared" si="90"/>
        <v>0</v>
      </c>
      <c r="HA84">
        <v>0</v>
      </c>
      <c r="HB84">
        <v>0</v>
      </c>
      <c r="IK84">
        <v>0</v>
      </c>
    </row>
    <row r="85" spans="1:245" x14ac:dyDescent="0.2">
      <c r="A85">
        <v>18</v>
      </c>
      <c r="B85">
        <v>1</v>
      </c>
      <c r="C85">
        <v>214</v>
      </c>
      <c r="E85" t="s">
        <v>261</v>
      </c>
      <c r="F85" t="s">
        <v>262</v>
      </c>
      <c r="G85" t="s">
        <v>263</v>
      </c>
      <c r="H85" t="s">
        <v>259</v>
      </c>
      <c r="I85">
        <f>I83*J85</f>
        <v>1.0269999999999999</v>
      </c>
      <c r="J85">
        <v>0.39499999999999996</v>
      </c>
      <c r="O85">
        <f t="shared" si="57"/>
        <v>0</v>
      </c>
      <c r="P85">
        <f t="shared" si="58"/>
        <v>0</v>
      </c>
      <c r="Q85">
        <f t="shared" si="59"/>
        <v>0</v>
      </c>
      <c r="R85">
        <f t="shared" si="60"/>
        <v>0</v>
      </c>
      <c r="S85">
        <f t="shared" si="61"/>
        <v>0</v>
      </c>
      <c r="T85">
        <f t="shared" si="62"/>
        <v>0</v>
      </c>
      <c r="U85">
        <f t="shared" si="63"/>
        <v>0</v>
      </c>
      <c r="V85">
        <f t="shared" si="64"/>
        <v>0</v>
      </c>
      <c r="W85">
        <f t="shared" si="65"/>
        <v>0</v>
      </c>
      <c r="X85">
        <f t="shared" si="66"/>
        <v>0</v>
      </c>
      <c r="Y85">
        <f t="shared" si="67"/>
        <v>0</v>
      </c>
      <c r="AA85">
        <v>39476960</v>
      </c>
      <c r="AB85">
        <f t="shared" si="68"/>
        <v>0</v>
      </c>
      <c r="AC85">
        <f t="shared" si="69"/>
        <v>0</v>
      </c>
      <c r="AD85">
        <f>ROUND((((ET85)-(EU85))+AE85),2)</f>
        <v>0</v>
      </c>
      <c r="AE85">
        <f>ROUND((EU85),2)</f>
        <v>0</v>
      </c>
      <c r="AF85">
        <f>ROUND((EV85),2)</f>
        <v>0</v>
      </c>
      <c r="AG85">
        <f t="shared" si="70"/>
        <v>0</v>
      </c>
      <c r="AH85">
        <f>(EW85)</f>
        <v>0</v>
      </c>
      <c r="AI85">
        <f>(EX85)</f>
        <v>0</v>
      </c>
      <c r="AJ85">
        <f t="shared" si="71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110</v>
      </c>
      <c r="AU85">
        <v>68</v>
      </c>
      <c r="AV85">
        <v>1</v>
      </c>
      <c r="AW85">
        <v>1</v>
      </c>
      <c r="AZ85">
        <v>6.13</v>
      </c>
      <c r="BA85">
        <v>1</v>
      </c>
      <c r="BB85">
        <v>1</v>
      </c>
      <c r="BC85">
        <v>6.13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3</v>
      </c>
      <c r="BM85">
        <v>8001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122</v>
      </c>
      <c r="CA85">
        <v>80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72"/>
        <v>0</v>
      </c>
      <c r="CQ85">
        <f t="shared" si="73"/>
        <v>0</v>
      </c>
      <c r="CR85">
        <f t="shared" si="74"/>
        <v>0</v>
      </c>
      <c r="CS85">
        <f t="shared" si="75"/>
        <v>0</v>
      </c>
      <c r="CT85">
        <f t="shared" si="76"/>
        <v>0</v>
      </c>
      <c r="CU85">
        <f t="shared" si="77"/>
        <v>0</v>
      </c>
      <c r="CV85">
        <f t="shared" si="78"/>
        <v>0</v>
      </c>
      <c r="CW85">
        <f t="shared" si="79"/>
        <v>0</v>
      </c>
      <c r="CX85">
        <f t="shared" si="80"/>
        <v>0</v>
      </c>
      <c r="CY85">
        <f t="shared" si="81"/>
        <v>0</v>
      </c>
      <c r="CZ85">
        <f t="shared" si="82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1010</v>
      </c>
      <c r="DV85" t="s">
        <v>259</v>
      </c>
      <c r="DW85" t="s">
        <v>259</v>
      </c>
      <c r="DX85">
        <v>1000</v>
      </c>
      <c r="EE85">
        <v>39174501</v>
      </c>
      <c r="EF85">
        <v>2</v>
      </c>
      <c r="EG85" t="s">
        <v>13</v>
      </c>
      <c r="EH85">
        <v>0</v>
      </c>
      <c r="EI85" t="s">
        <v>3</v>
      </c>
      <c r="EJ85">
        <v>1</v>
      </c>
      <c r="EK85">
        <v>8001</v>
      </c>
      <c r="EL85" t="s">
        <v>254</v>
      </c>
      <c r="EM85" t="s">
        <v>255</v>
      </c>
      <c r="EO85" t="s">
        <v>3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3"/>
        <v>0</v>
      </c>
      <c r="FS85">
        <v>0</v>
      </c>
      <c r="FT85" t="s">
        <v>29</v>
      </c>
      <c r="FU85" t="s">
        <v>30</v>
      </c>
      <c r="FX85">
        <v>109.8</v>
      </c>
      <c r="FY85">
        <v>68</v>
      </c>
      <c r="GA85" t="s">
        <v>3</v>
      </c>
      <c r="GD85">
        <v>0</v>
      </c>
      <c r="GF85">
        <v>-1480842532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84"/>
        <v>0</v>
      </c>
      <c r="GM85">
        <f t="shared" si="85"/>
        <v>0</v>
      </c>
      <c r="GN85">
        <f t="shared" si="86"/>
        <v>0</v>
      </c>
      <c r="GO85">
        <f t="shared" si="87"/>
        <v>0</v>
      </c>
      <c r="GP85">
        <f t="shared" si="88"/>
        <v>0</v>
      </c>
      <c r="GR85">
        <v>0</v>
      </c>
      <c r="GS85">
        <v>3</v>
      </c>
      <c r="GT85">
        <v>0</v>
      </c>
      <c r="GU85" t="s">
        <v>3</v>
      </c>
      <c r="GV85">
        <f t="shared" si="89"/>
        <v>0</v>
      </c>
      <c r="GW85">
        <v>1</v>
      </c>
      <c r="GX85">
        <f t="shared" si="90"/>
        <v>0</v>
      </c>
      <c r="HA85">
        <v>0</v>
      </c>
      <c r="HB85">
        <v>0</v>
      </c>
      <c r="IK85">
        <v>0</v>
      </c>
    </row>
    <row r="86" spans="1:245" x14ac:dyDescent="0.2">
      <c r="A86">
        <v>17</v>
      </c>
      <c r="B86">
        <v>1</v>
      </c>
      <c r="C86">
        <f>ROW(SmtRes!A220)</f>
        <v>220</v>
      </c>
      <c r="D86">
        <f>ROW(EtalonRes!A207)</f>
        <v>207</v>
      </c>
      <c r="E86" t="s">
        <v>264</v>
      </c>
      <c r="F86" t="s">
        <v>265</v>
      </c>
      <c r="G86" t="s">
        <v>266</v>
      </c>
      <c r="H86" t="s">
        <v>34</v>
      </c>
      <c r="I86">
        <v>0.27</v>
      </c>
      <c r="J86">
        <v>0</v>
      </c>
      <c r="O86">
        <f t="shared" si="57"/>
        <v>1981.6</v>
      </c>
      <c r="P86">
        <f t="shared" si="58"/>
        <v>0</v>
      </c>
      <c r="Q86">
        <f t="shared" si="59"/>
        <v>384.38</v>
      </c>
      <c r="R86">
        <f t="shared" si="60"/>
        <v>13.54</v>
      </c>
      <c r="S86">
        <f t="shared" si="61"/>
        <v>1597.22</v>
      </c>
      <c r="T86">
        <f t="shared" si="62"/>
        <v>0</v>
      </c>
      <c r="U86">
        <f t="shared" si="63"/>
        <v>28.727459999999997</v>
      </c>
      <c r="V86">
        <f t="shared" si="64"/>
        <v>0.17820000000000003</v>
      </c>
      <c r="W86">
        <f t="shared" si="65"/>
        <v>0</v>
      </c>
      <c r="X86">
        <f t="shared" si="66"/>
        <v>1304.72</v>
      </c>
      <c r="Y86">
        <f t="shared" si="67"/>
        <v>1159.75</v>
      </c>
      <c r="AA86">
        <v>39476960</v>
      </c>
      <c r="AB86">
        <f t="shared" si="68"/>
        <v>1197.27</v>
      </c>
      <c r="AC86">
        <f t="shared" si="69"/>
        <v>0</v>
      </c>
      <c r="AD86">
        <f>ROUND((((((ET86*1.25)*1.2))-(((EU86*1.25)*1.2)))+AE86),2)</f>
        <v>232.24</v>
      </c>
      <c r="AE86">
        <f>ROUND((((EU86*1.25)*1.2)),2)</f>
        <v>8.18</v>
      </c>
      <c r="AF86">
        <f>ROUND((((EV86*1.15)*1.2)),2)</f>
        <v>965.03</v>
      </c>
      <c r="AG86">
        <f t="shared" si="70"/>
        <v>0</v>
      </c>
      <c r="AH86">
        <f>(((EW86*1.15)*1.2))</f>
        <v>106.39799999999998</v>
      </c>
      <c r="AI86">
        <f>(((EX86*1.25)*1.2))</f>
        <v>0.66</v>
      </c>
      <c r="AJ86">
        <f t="shared" si="71"/>
        <v>0</v>
      </c>
      <c r="AK86">
        <v>854.12</v>
      </c>
      <c r="AL86">
        <v>0</v>
      </c>
      <c r="AM86">
        <v>154.82</v>
      </c>
      <c r="AN86">
        <v>5.45</v>
      </c>
      <c r="AO86">
        <v>699.3</v>
      </c>
      <c r="AP86">
        <v>0</v>
      </c>
      <c r="AQ86">
        <v>77.099999999999994</v>
      </c>
      <c r="AR86">
        <v>0.44</v>
      </c>
      <c r="AS86">
        <v>0</v>
      </c>
      <c r="AT86">
        <v>81</v>
      </c>
      <c r="AU86">
        <v>72</v>
      </c>
      <c r="AV86">
        <v>1</v>
      </c>
      <c r="AW86">
        <v>1</v>
      </c>
      <c r="AZ86">
        <v>6.13</v>
      </c>
      <c r="BA86">
        <v>6.13</v>
      </c>
      <c r="BB86">
        <v>6.13</v>
      </c>
      <c r="BC86">
        <v>6.13</v>
      </c>
      <c r="BD86" t="s">
        <v>3</v>
      </c>
      <c r="BE86" t="s">
        <v>3</v>
      </c>
      <c r="BF86" t="s">
        <v>3</v>
      </c>
      <c r="BG86" t="s">
        <v>3</v>
      </c>
      <c r="BH86">
        <v>0</v>
      </c>
      <c r="BI86">
        <v>1</v>
      </c>
      <c r="BJ86" t="s">
        <v>267</v>
      </c>
      <c r="BM86">
        <v>9001</v>
      </c>
      <c r="BN86">
        <v>0</v>
      </c>
      <c r="BO86" t="s">
        <v>3</v>
      </c>
      <c r="BP86">
        <v>0</v>
      </c>
      <c r="BQ86">
        <v>2</v>
      </c>
      <c r="BR86">
        <v>0</v>
      </c>
      <c r="BS86">
        <v>6.13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90</v>
      </c>
      <c r="CA86">
        <v>85</v>
      </c>
      <c r="CF86">
        <v>0</v>
      </c>
      <c r="CG86">
        <v>0</v>
      </c>
      <c r="CM86">
        <v>0</v>
      </c>
      <c r="CN86" t="s">
        <v>1274</v>
      </c>
      <c r="CO86">
        <v>0</v>
      </c>
      <c r="CP86">
        <f t="shared" si="72"/>
        <v>1981.6</v>
      </c>
      <c r="CQ86">
        <f t="shared" si="73"/>
        <v>0</v>
      </c>
      <c r="CR86">
        <f t="shared" si="74"/>
        <v>1423.6312</v>
      </c>
      <c r="CS86">
        <f t="shared" si="75"/>
        <v>50.1434</v>
      </c>
      <c r="CT86">
        <f t="shared" si="76"/>
        <v>5915.6338999999998</v>
      </c>
      <c r="CU86">
        <f t="shared" si="77"/>
        <v>0</v>
      </c>
      <c r="CV86">
        <f t="shared" si="78"/>
        <v>106.39799999999998</v>
      </c>
      <c r="CW86">
        <f t="shared" si="79"/>
        <v>0.66</v>
      </c>
      <c r="CX86">
        <f t="shared" si="80"/>
        <v>0</v>
      </c>
      <c r="CY86">
        <f t="shared" si="81"/>
        <v>1304.7156</v>
      </c>
      <c r="CZ86">
        <f t="shared" si="82"/>
        <v>1159.7472</v>
      </c>
      <c r="DC86" t="s">
        <v>3</v>
      </c>
      <c r="DD86" t="s">
        <v>3</v>
      </c>
      <c r="DE86" t="s">
        <v>53</v>
      </c>
      <c r="DF86" t="s">
        <v>53</v>
      </c>
      <c r="DG86" t="s">
        <v>54</v>
      </c>
      <c r="DH86" t="s">
        <v>3</v>
      </c>
      <c r="DI86" t="s">
        <v>54</v>
      </c>
      <c r="DJ86" t="s">
        <v>53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1009</v>
      </c>
      <c r="DV86" t="s">
        <v>34</v>
      </c>
      <c r="DW86" t="s">
        <v>34</v>
      </c>
      <c r="DX86">
        <v>1000</v>
      </c>
      <c r="EE86">
        <v>39174502</v>
      </c>
      <c r="EF86">
        <v>2</v>
      </c>
      <c r="EG86" t="s">
        <v>13</v>
      </c>
      <c r="EH86">
        <v>0</v>
      </c>
      <c r="EI86" t="s">
        <v>3</v>
      </c>
      <c r="EJ86">
        <v>1</v>
      </c>
      <c r="EK86">
        <v>9001</v>
      </c>
      <c r="EL86" t="s">
        <v>38</v>
      </c>
      <c r="EM86" t="s">
        <v>39</v>
      </c>
      <c r="EO86" t="s">
        <v>89</v>
      </c>
      <c r="EQ86">
        <v>0</v>
      </c>
      <c r="ER86">
        <v>854.12</v>
      </c>
      <c r="ES86">
        <v>0</v>
      </c>
      <c r="ET86">
        <v>154.82</v>
      </c>
      <c r="EU86">
        <v>5.45</v>
      </c>
      <c r="EV86">
        <v>699.3</v>
      </c>
      <c r="EW86">
        <v>77.099999999999994</v>
      </c>
      <c r="EX86">
        <v>0.44</v>
      </c>
      <c r="EY86">
        <v>0</v>
      </c>
      <c r="FQ86">
        <v>0</v>
      </c>
      <c r="FR86">
        <f t="shared" si="83"/>
        <v>0</v>
      </c>
      <c r="FS86">
        <v>0</v>
      </c>
      <c r="FT86" t="s">
        <v>29</v>
      </c>
      <c r="FU86" t="s">
        <v>30</v>
      </c>
      <c r="FX86">
        <v>81</v>
      </c>
      <c r="FY86">
        <v>72.25</v>
      </c>
      <c r="GA86" t="s">
        <v>3</v>
      </c>
      <c r="GD86">
        <v>0</v>
      </c>
      <c r="GF86">
        <v>881449373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84"/>
        <v>0</v>
      </c>
      <c r="GM86">
        <f t="shared" si="85"/>
        <v>4446.07</v>
      </c>
      <c r="GN86">
        <f t="shared" si="86"/>
        <v>4446.07</v>
      </c>
      <c r="GO86">
        <f t="shared" si="87"/>
        <v>0</v>
      </c>
      <c r="GP86">
        <f t="shared" si="88"/>
        <v>0</v>
      </c>
      <c r="GR86">
        <v>0</v>
      </c>
      <c r="GS86">
        <v>3</v>
      </c>
      <c r="GT86">
        <v>0</v>
      </c>
      <c r="GU86" t="s">
        <v>3</v>
      </c>
      <c r="GV86">
        <f t="shared" si="89"/>
        <v>0</v>
      </c>
      <c r="GW86">
        <v>1</v>
      </c>
      <c r="GX86">
        <f t="shared" si="90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220</v>
      </c>
      <c r="E87" t="s">
        <v>268</v>
      </c>
      <c r="F87" t="s">
        <v>269</v>
      </c>
      <c r="G87" t="s">
        <v>270</v>
      </c>
      <c r="H87" t="s">
        <v>34</v>
      </c>
      <c r="I87">
        <f>I86*J87</f>
        <v>0.27</v>
      </c>
      <c r="J87">
        <v>1</v>
      </c>
      <c r="O87">
        <f t="shared" si="57"/>
        <v>11221.58</v>
      </c>
      <c r="P87">
        <f t="shared" si="58"/>
        <v>11221.58</v>
      </c>
      <c r="Q87">
        <f t="shared" si="59"/>
        <v>0</v>
      </c>
      <c r="R87">
        <f t="shared" si="60"/>
        <v>0</v>
      </c>
      <c r="S87">
        <f t="shared" si="61"/>
        <v>0</v>
      </c>
      <c r="T87">
        <f t="shared" si="62"/>
        <v>0</v>
      </c>
      <c r="U87">
        <f t="shared" si="63"/>
        <v>0</v>
      </c>
      <c r="V87">
        <f t="shared" si="64"/>
        <v>0</v>
      </c>
      <c r="W87">
        <f t="shared" si="65"/>
        <v>0</v>
      </c>
      <c r="X87">
        <f t="shared" si="66"/>
        <v>0</v>
      </c>
      <c r="Y87">
        <f t="shared" si="67"/>
        <v>0</v>
      </c>
      <c r="AA87">
        <v>39476960</v>
      </c>
      <c r="AB87">
        <f t="shared" si="68"/>
        <v>6780</v>
      </c>
      <c r="AC87">
        <f t="shared" si="69"/>
        <v>6780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70"/>
        <v>0</v>
      </c>
      <c r="AH87">
        <f>(EW87)</f>
        <v>0</v>
      </c>
      <c r="AI87">
        <f>(EX87)</f>
        <v>0</v>
      </c>
      <c r="AJ87">
        <f t="shared" si="71"/>
        <v>0</v>
      </c>
      <c r="AK87">
        <v>6780</v>
      </c>
      <c r="AL87">
        <v>6780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81</v>
      </c>
      <c r="AU87">
        <v>72</v>
      </c>
      <c r="AV87">
        <v>1</v>
      </c>
      <c r="AW87">
        <v>1</v>
      </c>
      <c r="AZ87">
        <v>6.13</v>
      </c>
      <c r="BA87">
        <v>1</v>
      </c>
      <c r="BB87">
        <v>1</v>
      </c>
      <c r="BC87">
        <v>6.13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271</v>
      </c>
      <c r="BM87">
        <v>9001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90</v>
      </c>
      <c r="CA87">
        <v>85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72"/>
        <v>11221.58</v>
      </c>
      <c r="CQ87">
        <f t="shared" si="73"/>
        <v>41561.4</v>
      </c>
      <c r="CR87">
        <f t="shared" si="74"/>
        <v>0</v>
      </c>
      <c r="CS87">
        <f t="shared" si="75"/>
        <v>0</v>
      </c>
      <c r="CT87">
        <f t="shared" si="76"/>
        <v>0</v>
      </c>
      <c r="CU87">
        <f t="shared" si="77"/>
        <v>0</v>
      </c>
      <c r="CV87">
        <f t="shared" si="78"/>
        <v>0</v>
      </c>
      <c r="CW87">
        <f t="shared" si="79"/>
        <v>0</v>
      </c>
      <c r="CX87">
        <f t="shared" si="80"/>
        <v>0</v>
      </c>
      <c r="CY87">
        <f t="shared" si="81"/>
        <v>0</v>
      </c>
      <c r="CZ87">
        <f t="shared" si="82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34</v>
      </c>
      <c r="DW87" t="s">
        <v>34</v>
      </c>
      <c r="DX87">
        <v>1000</v>
      </c>
      <c r="EE87">
        <v>39174502</v>
      </c>
      <c r="EF87">
        <v>2</v>
      </c>
      <c r="EG87" t="s">
        <v>13</v>
      </c>
      <c r="EH87">
        <v>0</v>
      </c>
      <c r="EI87" t="s">
        <v>3</v>
      </c>
      <c r="EJ87">
        <v>1</v>
      </c>
      <c r="EK87">
        <v>9001</v>
      </c>
      <c r="EL87" t="s">
        <v>38</v>
      </c>
      <c r="EM87" t="s">
        <v>39</v>
      </c>
      <c r="EO87" t="s">
        <v>3</v>
      </c>
      <c r="EQ87">
        <v>0</v>
      </c>
      <c r="ER87">
        <v>6780</v>
      </c>
      <c r="ES87">
        <v>6780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3"/>
        <v>0</v>
      </c>
      <c r="FS87">
        <v>0</v>
      </c>
      <c r="FT87" t="s">
        <v>29</v>
      </c>
      <c r="FU87" t="s">
        <v>30</v>
      </c>
      <c r="FX87">
        <v>81</v>
      </c>
      <c r="FY87">
        <v>72.25</v>
      </c>
      <c r="GA87" t="s">
        <v>3</v>
      </c>
      <c r="GD87">
        <v>0</v>
      </c>
      <c r="GF87">
        <v>-224351802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84"/>
        <v>0</v>
      </c>
      <c r="GM87">
        <f t="shared" si="85"/>
        <v>11221.58</v>
      </c>
      <c r="GN87">
        <f t="shared" si="86"/>
        <v>11221.58</v>
      </c>
      <c r="GO87">
        <f t="shared" si="87"/>
        <v>0</v>
      </c>
      <c r="GP87">
        <f t="shared" si="88"/>
        <v>0</v>
      </c>
      <c r="GR87">
        <v>0</v>
      </c>
      <c r="GS87">
        <v>3</v>
      </c>
      <c r="GT87">
        <v>0</v>
      </c>
      <c r="GU87" t="s">
        <v>3</v>
      </c>
      <c r="GV87">
        <f t="shared" si="89"/>
        <v>0</v>
      </c>
      <c r="GW87">
        <v>1</v>
      </c>
      <c r="GX87">
        <f t="shared" si="90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ROW(SmtRes!A226)</f>
        <v>226</v>
      </c>
      <c r="D88">
        <f>ROW(EtalonRes!A213)</f>
        <v>213</v>
      </c>
      <c r="E88" t="s">
        <v>272</v>
      </c>
      <c r="F88" t="s">
        <v>273</v>
      </c>
      <c r="G88" t="s">
        <v>274</v>
      </c>
      <c r="H88" t="s">
        <v>17</v>
      </c>
      <c r="I88">
        <f>ROUND(3.5/100,9)</f>
        <v>3.5000000000000003E-2</v>
      </c>
      <c r="J88">
        <v>0</v>
      </c>
      <c r="O88">
        <f t="shared" si="57"/>
        <v>469.88</v>
      </c>
      <c r="P88">
        <f t="shared" si="58"/>
        <v>372.31</v>
      </c>
      <c r="Q88">
        <f t="shared" si="59"/>
        <v>7.31</v>
      </c>
      <c r="R88">
        <f t="shared" si="60"/>
        <v>1.76</v>
      </c>
      <c r="S88">
        <f t="shared" si="61"/>
        <v>90.26</v>
      </c>
      <c r="T88">
        <f t="shared" si="62"/>
        <v>0</v>
      </c>
      <c r="U88">
        <f t="shared" si="63"/>
        <v>1.7262420000000001</v>
      </c>
      <c r="V88">
        <f t="shared" si="64"/>
        <v>2.3100000000000002E-2</v>
      </c>
      <c r="W88">
        <f t="shared" si="65"/>
        <v>0</v>
      </c>
      <c r="X88">
        <f t="shared" si="66"/>
        <v>102.14</v>
      </c>
      <c r="Y88">
        <f t="shared" si="67"/>
        <v>58.89</v>
      </c>
      <c r="AA88">
        <v>39476960</v>
      </c>
      <c r="AB88">
        <f t="shared" si="68"/>
        <v>2190.09</v>
      </c>
      <c r="AC88">
        <f t="shared" si="69"/>
        <v>1735.31</v>
      </c>
      <c r="AD88">
        <f>ROUND((((((ET88*1.25)*1.2))-(((EU88*1.25)*1.2)))+AE88),2)</f>
        <v>34.07</v>
      </c>
      <c r="AE88">
        <f>ROUND((((EU88*1.25)*1.2)),2)</f>
        <v>8.18</v>
      </c>
      <c r="AF88">
        <f>ROUND((((EV88*1.15)*1.2)),2)</f>
        <v>420.71</v>
      </c>
      <c r="AG88">
        <f t="shared" si="70"/>
        <v>0</v>
      </c>
      <c r="AH88">
        <f>(((EW88*1.15)*1.2))</f>
        <v>49.321199999999997</v>
      </c>
      <c r="AI88">
        <f>(((EX88*1.25)*1.2))</f>
        <v>0.66</v>
      </c>
      <c r="AJ88">
        <f t="shared" si="71"/>
        <v>0</v>
      </c>
      <c r="AK88">
        <v>2062.88</v>
      </c>
      <c r="AL88">
        <v>1735.31</v>
      </c>
      <c r="AM88">
        <v>22.71</v>
      </c>
      <c r="AN88">
        <v>5.45</v>
      </c>
      <c r="AO88">
        <v>304.86</v>
      </c>
      <c r="AP88">
        <v>0</v>
      </c>
      <c r="AQ88">
        <v>35.74</v>
      </c>
      <c r="AR88">
        <v>0.44</v>
      </c>
      <c r="AS88">
        <v>0</v>
      </c>
      <c r="AT88">
        <v>111</v>
      </c>
      <c r="AU88">
        <v>64</v>
      </c>
      <c r="AV88">
        <v>1</v>
      </c>
      <c r="AW88">
        <v>1</v>
      </c>
      <c r="AZ88">
        <v>6.13</v>
      </c>
      <c r="BA88">
        <v>6.13</v>
      </c>
      <c r="BB88">
        <v>6.13</v>
      </c>
      <c r="BC88">
        <v>6.13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1</v>
      </c>
      <c r="BJ88" t="s">
        <v>275</v>
      </c>
      <c r="BM88">
        <v>11001</v>
      </c>
      <c r="BN88">
        <v>0</v>
      </c>
      <c r="BO88" t="s">
        <v>3</v>
      </c>
      <c r="BP88">
        <v>0</v>
      </c>
      <c r="BQ88">
        <v>2</v>
      </c>
      <c r="BR88">
        <v>0</v>
      </c>
      <c r="BS88">
        <v>6.13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123</v>
      </c>
      <c r="CA88">
        <v>75</v>
      </c>
      <c r="CF88">
        <v>0</v>
      </c>
      <c r="CG88">
        <v>0</v>
      </c>
      <c r="CM88">
        <v>0</v>
      </c>
      <c r="CN88" t="s">
        <v>1274</v>
      </c>
      <c r="CO88">
        <v>0</v>
      </c>
      <c r="CP88">
        <f t="shared" si="72"/>
        <v>469.88</v>
      </c>
      <c r="CQ88">
        <f t="shared" si="73"/>
        <v>10637.450299999999</v>
      </c>
      <c r="CR88">
        <f t="shared" si="74"/>
        <v>208.84909999999999</v>
      </c>
      <c r="CS88">
        <f t="shared" si="75"/>
        <v>50.1434</v>
      </c>
      <c r="CT88">
        <f t="shared" si="76"/>
        <v>2578.9522999999999</v>
      </c>
      <c r="CU88">
        <f t="shared" si="77"/>
        <v>0</v>
      </c>
      <c r="CV88">
        <f t="shared" si="78"/>
        <v>49.321199999999997</v>
      </c>
      <c r="CW88">
        <f t="shared" si="79"/>
        <v>0.66</v>
      </c>
      <c r="CX88">
        <f t="shared" si="80"/>
        <v>0</v>
      </c>
      <c r="CY88">
        <f t="shared" si="81"/>
        <v>102.14220000000002</v>
      </c>
      <c r="CZ88">
        <f t="shared" si="82"/>
        <v>58.892800000000008</v>
      </c>
      <c r="DC88" t="s">
        <v>3</v>
      </c>
      <c r="DD88" t="s">
        <v>3</v>
      </c>
      <c r="DE88" t="s">
        <v>53</v>
      </c>
      <c r="DF88" t="s">
        <v>53</v>
      </c>
      <c r="DG88" t="s">
        <v>54</v>
      </c>
      <c r="DH88" t="s">
        <v>3</v>
      </c>
      <c r="DI88" t="s">
        <v>54</v>
      </c>
      <c r="DJ88" t="s">
        <v>53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17</v>
      </c>
      <c r="DW88" t="s">
        <v>17</v>
      </c>
      <c r="DX88">
        <v>100</v>
      </c>
      <c r="EE88">
        <v>39174504</v>
      </c>
      <c r="EF88">
        <v>2</v>
      </c>
      <c r="EG88" t="s">
        <v>13</v>
      </c>
      <c r="EH88">
        <v>0</v>
      </c>
      <c r="EI88" t="s">
        <v>3</v>
      </c>
      <c r="EJ88">
        <v>1</v>
      </c>
      <c r="EK88">
        <v>11001</v>
      </c>
      <c r="EL88" t="s">
        <v>136</v>
      </c>
      <c r="EM88" t="s">
        <v>137</v>
      </c>
      <c r="EO88" t="s">
        <v>89</v>
      </c>
      <c r="EQ88">
        <v>0</v>
      </c>
      <c r="ER88">
        <v>2062.88</v>
      </c>
      <c r="ES88">
        <v>1735.31</v>
      </c>
      <c r="ET88">
        <v>22.71</v>
      </c>
      <c r="EU88">
        <v>5.45</v>
      </c>
      <c r="EV88">
        <v>304.86</v>
      </c>
      <c r="EW88">
        <v>35.74</v>
      </c>
      <c r="EX88">
        <v>0.44</v>
      </c>
      <c r="EY88">
        <v>0</v>
      </c>
      <c r="FQ88">
        <v>0</v>
      </c>
      <c r="FR88">
        <f t="shared" si="83"/>
        <v>0</v>
      </c>
      <c r="FS88">
        <v>0</v>
      </c>
      <c r="FT88" t="s">
        <v>29</v>
      </c>
      <c r="FU88" t="s">
        <v>30</v>
      </c>
      <c r="FX88">
        <v>110.7</v>
      </c>
      <c r="FY88">
        <v>63.75</v>
      </c>
      <c r="GA88" t="s">
        <v>3</v>
      </c>
      <c r="GD88">
        <v>0</v>
      </c>
      <c r="GF88">
        <v>1888880118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84"/>
        <v>0</v>
      </c>
      <c r="GM88">
        <f t="shared" si="85"/>
        <v>630.91</v>
      </c>
      <c r="GN88">
        <f t="shared" si="86"/>
        <v>630.91</v>
      </c>
      <c r="GO88">
        <f t="shared" si="87"/>
        <v>0</v>
      </c>
      <c r="GP88">
        <f t="shared" si="88"/>
        <v>0</v>
      </c>
      <c r="GR88">
        <v>0</v>
      </c>
      <c r="GS88">
        <v>3</v>
      </c>
      <c r="GT88">
        <v>0</v>
      </c>
      <c r="GU88" t="s">
        <v>3</v>
      </c>
      <c r="GV88">
        <f t="shared" si="89"/>
        <v>0</v>
      </c>
      <c r="GW88">
        <v>1</v>
      </c>
      <c r="GX88">
        <f t="shared" si="90"/>
        <v>0</v>
      </c>
      <c r="HA88">
        <v>0</v>
      </c>
      <c r="HB88">
        <v>0</v>
      </c>
      <c r="IK88">
        <v>0</v>
      </c>
    </row>
    <row r="89" spans="1:245" x14ac:dyDescent="0.2">
      <c r="A89">
        <v>17</v>
      </c>
      <c r="B89">
        <v>1</v>
      </c>
      <c r="C89">
        <f>ROW(SmtRes!A233)</f>
        <v>233</v>
      </c>
      <c r="D89">
        <f>ROW(EtalonRes!A220)</f>
        <v>220</v>
      </c>
      <c r="E89" t="s">
        <v>276</v>
      </c>
      <c r="F89" t="s">
        <v>277</v>
      </c>
      <c r="G89" t="s">
        <v>278</v>
      </c>
      <c r="H89" t="s">
        <v>17</v>
      </c>
      <c r="I89">
        <f>ROUND(6.7/100,9)</f>
        <v>6.7000000000000004E-2</v>
      </c>
      <c r="J89">
        <v>0</v>
      </c>
      <c r="O89">
        <f t="shared" si="57"/>
        <v>404.36</v>
      </c>
      <c r="P89">
        <f t="shared" si="58"/>
        <v>128.88999999999999</v>
      </c>
      <c r="Q89">
        <f t="shared" si="59"/>
        <v>41.76</v>
      </c>
      <c r="R89">
        <f t="shared" si="60"/>
        <v>9.4499999999999993</v>
      </c>
      <c r="S89">
        <f t="shared" si="61"/>
        <v>233.71</v>
      </c>
      <c r="T89">
        <f t="shared" si="62"/>
        <v>0</v>
      </c>
      <c r="U89">
        <f t="shared" si="63"/>
        <v>4.46957</v>
      </c>
      <c r="V89">
        <f t="shared" si="64"/>
        <v>0.12462000000000001</v>
      </c>
      <c r="W89">
        <f t="shared" si="65"/>
        <v>0</v>
      </c>
      <c r="X89">
        <f t="shared" si="66"/>
        <v>269.91000000000003</v>
      </c>
      <c r="Y89">
        <f t="shared" si="67"/>
        <v>155.62</v>
      </c>
      <c r="AA89">
        <v>39476960</v>
      </c>
      <c r="AB89">
        <f t="shared" si="68"/>
        <v>984.54</v>
      </c>
      <c r="AC89">
        <f t="shared" si="69"/>
        <v>313.82</v>
      </c>
      <c r="AD89">
        <f>ROUND((((ET89)-(EU89))+AE89),2)</f>
        <v>101.68</v>
      </c>
      <c r="AE89">
        <f>ROUND((EU89),2)</f>
        <v>23.02</v>
      </c>
      <c r="AF89">
        <f>ROUND((EV89),2)</f>
        <v>569.04</v>
      </c>
      <c r="AG89">
        <f t="shared" si="70"/>
        <v>0</v>
      </c>
      <c r="AH89">
        <f>(EW89)</f>
        <v>66.709999999999994</v>
      </c>
      <c r="AI89">
        <f>(EX89)</f>
        <v>1.86</v>
      </c>
      <c r="AJ89">
        <f t="shared" si="71"/>
        <v>0</v>
      </c>
      <c r="AK89">
        <v>984.54</v>
      </c>
      <c r="AL89">
        <v>313.82</v>
      </c>
      <c r="AM89">
        <v>101.68</v>
      </c>
      <c r="AN89">
        <v>23.02</v>
      </c>
      <c r="AO89">
        <v>569.04</v>
      </c>
      <c r="AP89">
        <v>0</v>
      </c>
      <c r="AQ89">
        <v>66.709999999999994</v>
      </c>
      <c r="AR89">
        <v>1.86</v>
      </c>
      <c r="AS89">
        <v>0</v>
      </c>
      <c r="AT89">
        <v>111</v>
      </c>
      <c r="AU89">
        <v>64</v>
      </c>
      <c r="AV89">
        <v>1</v>
      </c>
      <c r="AW89">
        <v>1</v>
      </c>
      <c r="AZ89">
        <v>6.13</v>
      </c>
      <c r="BA89">
        <v>6.13</v>
      </c>
      <c r="BB89">
        <v>6.13</v>
      </c>
      <c r="BC89">
        <v>6.13</v>
      </c>
      <c r="BD89" t="s">
        <v>3</v>
      </c>
      <c r="BE89" t="s">
        <v>3</v>
      </c>
      <c r="BF89" t="s">
        <v>3</v>
      </c>
      <c r="BG89" t="s">
        <v>3</v>
      </c>
      <c r="BH89">
        <v>0</v>
      </c>
      <c r="BI89">
        <v>1</v>
      </c>
      <c r="BJ89" t="s">
        <v>279</v>
      </c>
      <c r="BM89">
        <v>11001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6.13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123</v>
      </c>
      <c r="CA89">
        <v>75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72"/>
        <v>404.36</v>
      </c>
      <c r="CQ89">
        <f t="shared" si="73"/>
        <v>1923.7166</v>
      </c>
      <c r="CR89">
        <f t="shared" si="74"/>
        <v>623.29840000000002</v>
      </c>
      <c r="CS89">
        <f t="shared" si="75"/>
        <v>141.11259999999999</v>
      </c>
      <c r="CT89">
        <f t="shared" si="76"/>
        <v>3488.2151999999996</v>
      </c>
      <c r="CU89">
        <f t="shared" si="77"/>
        <v>0</v>
      </c>
      <c r="CV89">
        <f t="shared" si="78"/>
        <v>66.709999999999994</v>
      </c>
      <c r="CW89">
        <f t="shared" si="79"/>
        <v>1.86</v>
      </c>
      <c r="CX89">
        <f t="shared" si="80"/>
        <v>0</v>
      </c>
      <c r="CY89">
        <f t="shared" si="81"/>
        <v>269.9076</v>
      </c>
      <c r="CZ89">
        <f t="shared" si="82"/>
        <v>155.6224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17</v>
      </c>
      <c r="DW89" t="s">
        <v>17</v>
      </c>
      <c r="DX89">
        <v>100</v>
      </c>
      <c r="EE89">
        <v>39174504</v>
      </c>
      <c r="EF89">
        <v>2</v>
      </c>
      <c r="EG89" t="s">
        <v>13</v>
      </c>
      <c r="EH89">
        <v>0</v>
      </c>
      <c r="EI89" t="s">
        <v>3</v>
      </c>
      <c r="EJ89">
        <v>1</v>
      </c>
      <c r="EK89">
        <v>11001</v>
      </c>
      <c r="EL89" t="s">
        <v>136</v>
      </c>
      <c r="EM89" t="s">
        <v>137</v>
      </c>
      <c r="EO89" t="s">
        <v>3</v>
      </c>
      <c r="EQ89">
        <v>0</v>
      </c>
      <c r="ER89">
        <v>984.54</v>
      </c>
      <c r="ES89">
        <v>313.82</v>
      </c>
      <c r="ET89">
        <v>101.68</v>
      </c>
      <c r="EU89">
        <v>23.02</v>
      </c>
      <c r="EV89">
        <v>569.04</v>
      </c>
      <c r="EW89">
        <v>66.709999999999994</v>
      </c>
      <c r="EX89">
        <v>1.86</v>
      </c>
      <c r="EY89">
        <v>0</v>
      </c>
      <c r="FQ89">
        <v>0</v>
      </c>
      <c r="FR89">
        <f t="shared" si="83"/>
        <v>0</v>
      </c>
      <c r="FS89">
        <v>0</v>
      </c>
      <c r="FT89" t="s">
        <v>29</v>
      </c>
      <c r="FU89" t="s">
        <v>30</v>
      </c>
      <c r="FX89">
        <v>110.7</v>
      </c>
      <c r="FY89">
        <v>63.75</v>
      </c>
      <c r="GA89" t="s">
        <v>3</v>
      </c>
      <c r="GD89">
        <v>0</v>
      </c>
      <c r="GF89">
        <v>2037897252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84"/>
        <v>0</v>
      </c>
      <c r="GM89">
        <f t="shared" si="85"/>
        <v>829.89</v>
      </c>
      <c r="GN89">
        <f t="shared" si="86"/>
        <v>829.89</v>
      </c>
      <c r="GO89">
        <f t="shared" si="87"/>
        <v>0</v>
      </c>
      <c r="GP89">
        <f t="shared" si="88"/>
        <v>0</v>
      </c>
      <c r="GR89">
        <v>0</v>
      </c>
      <c r="GS89">
        <v>3</v>
      </c>
      <c r="GT89">
        <v>0</v>
      </c>
      <c r="GU89" t="s">
        <v>3</v>
      </c>
      <c r="GV89">
        <f t="shared" si="89"/>
        <v>0</v>
      </c>
      <c r="GW89">
        <v>1</v>
      </c>
      <c r="GX89">
        <f t="shared" si="90"/>
        <v>0</v>
      </c>
      <c r="HA89">
        <v>0</v>
      </c>
      <c r="HB89">
        <v>0</v>
      </c>
      <c r="IK89">
        <v>0</v>
      </c>
    </row>
    <row r="90" spans="1:245" x14ac:dyDescent="0.2">
      <c r="A90">
        <v>18</v>
      </c>
      <c r="B90">
        <v>1</v>
      </c>
      <c r="C90">
        <v>233</v>
      </c>
      <c r="E90" t="s">
        <v>280</v>
      </c>
      <c r="F90" t="s">
        <v>281</v>
      </c>
      <c r="G90" t="s">
        <v>282</v>
      </c>
      <c r="H90" t="s">
        <v>25</v>
      </c>
      <c r="I90">
        <f>I89*J90</f>
        <v>0.26800000000000002</v>
      </c>
      <c r="J90">
        <v>4</v>
      </c>
      <c r="O90">
        <f t="shared" si="57"/>
        <v>1807.12</v>
      </c>
      <c r="P90">
        <f t="shared" si="58"/>
        <v>1807.12</v>
      </c>
      <c r="Q90">
        <f t="shared" si="59"/>
        <v>0</v>
      </c>
      <c r="R90">
        <f t="shared" si="60"/>
        <v>0</v>
      </c>
      <c r="S90">
        <f t="shared" si="61"/>
        <v>0</v>
      </c>
      <c r="T90">
        <f t="shared" si="62"/>
        <v>0</v>
      </c>
      <c r="U90">
        <f t="shared" si="63"/>
        <v>0</v>
      </c>
      <c r="V90">
        <f t="shared" si="64"/>
        <v>0</v>
      </c>
      <c r="W90">
        <f t="shared" si="65"/>
        <v>0</v>
      </c>
      <c r="X90">
        <f t="shared" si="66"/>
        <v>0</v>
      </c>
      <c r="Y90">
        <f t="shared" si="67"/>
        <v>0</v>
      </c>
      <c r="AA90">
        <v>39476960</v>
      </c>
      <c r="AB90">
        <f t="shared" si="68"/>
        <v>1100</v>
      </c>
      <c r="AC90">
        <f t="shared" si="69"/>
        <v>1100</v>
      </c>
      <c r="AD90">
        <f>ROUND((((ET90)-(EU90))+AE90),2)</f>
        <v>0</v>
      </c>
      <c r="AE90">
        <f>ROUND((EU90),2)</f>
        <v>0</v>
      </c>
      <c r="AF90">
        <f>ROUND((EV90),2)</f>
        <v>0</v>
      </c>
      <c r="AG90">
        <f t="shared" si="70"/>
        <v>0</v>
      </c>
      <c r="AH90">
        <f>(EW90)</f>
        <v>0</v>
      </c>
      <c r="AI90">
        <f>(EX90)</f>
        <v>0</v>
      </c>
      <c r="AJ90">
        <f t="shared" si="71"/>
        <v>0</v>
      </c>
      <c r="AK90">
        <v>1100</v>
      </c>
      <c r="AL90">
        <v>1100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111</v>
      </c>
      <c r="AU90">
        <v>64</v>
      </c>
      <c r="AV90">
        <v>1</v>
      </c>
      <c r="AW90">
        <v>1</v>
      </c>
      <c r="AZ90">
        <v>6.13</v>
      </c>
      <c r="BA90">
        <v>1</v>
      </c>
      <c r="BB90">
        <v>1</v>
      </c>
      <c r="BC90">
        <v>6.13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1</v>
      </c>
      <c r="BJ90" t="s">
        <v>283</v>
      </c>
      <c r="BM90">
        <v>11001</v>
      </c>
      <c r="BN90">
        <v>0</v>
      </c>
      <c r="BO90" t="s">
        <v>3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123</v>
      </c>
      <c r="CA90">
        <v>75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72"/>
        <v>1807.12</v>
      </c>
      <c r="CQ90">
        <f t="shared" si="73"/>
        <v>6743</v>
      </c>
      <c r="CR90">
        <f t="shared" si="74"/>
        <v>0</v>
      </c>
      <c r="CS90">
        <f t="shared" si="75"/>
        <v>0</v>
      </c>
      <c r="CT90">
        <f t="shared" si="76"/>
        <v>0</v>
      </c>
      <c r="CU90">
        <f t="shared" si="77"/>
        <v>0</v>
      </c>
      <c r="CV90">
        <f t="shared" si="78"/>
        <v>0</v>
      </c>
      <c r="CW90">
        <f t="shared" si="79"/>
        <v>0</v>
      </c>
      <c r="CX90">
        <f t="shared" si="80"/>
        <v>0</v>
      </c>
      <c r="CY90">
        <f t="shared" si="81"/>
        <v>0</v>
      </c>
      <c r="CZ90">
        <f t="shared" si="82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1007</v>
      </c>
      <c r="DV90" t="s">
        <v>25</v>
      </c>
      <c r="DW90" t="s">
        <v>25</v>
      </c>
      <c r="DX90">
        <v>1</v>
      </c>
      <c r="EE90">
        <v>39174504</v>
      </c>
      <c r="EF90">
        <v>2</v>
      </c>
      <c r="EG90" t="s">
        <v>13</v>
      </c>
      <c r="EH90">
        <v>0</v>
      </c>
      <c r="EI90" t="s">
        <v>3</v>
      </c>
      <c r="EJ90">
        <v>1</v>
      </c>
      <c r="EK90">
        <v>11001</v>
      </c>
      <c r="EL90" t="s">
        <v>136</v>
      </c>
      <c r="EM90" t="s">
        <v>137</v>
      </c>
      <c r="EO90" t="s">
        <v>3</v>
      </c>
      <c r="EQ90">
        <v>0</v>
      </c>
      <c r="ER90">
        <v>1100</v>
      </c>
      <c r="ES90">
        <v>1100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83"/>
        <v>0</v>
      </c>
      <c r="FS90">
        <v>0</v>
      </c>
      <c r="FT90" t="s">
        <v>29</v>
      </c>
      <c r="FU90" t="s">
        <v>30</v>
      </c>
      <c r="FX90">
        <v>110.7</v>
      </c>
      <c r="FY90">
        <v>63.75</v>
      </c>
      <c r="GA90" t="s">
        <v>3</v>
      </c>
      <c r="GD90">
        <v>0</v>
      </c>
      <c r="GF90">
        <v>-1425381336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84"/>
        <v>0</v>
      </c>
      <c r="GM90">
        <f t="shared" si="85"/>
        <v>1807.12</v>
      </c>
      <c r="GN90">
        <f t="shared" si="86"/>
        <v>1807.12</v>
      </c>
      <c r="GO90">
        <f t="shared" si="87"/>
        <v>0</v>
      </c>
      <c r="GP90">
        <f t="shared" si="88"/>
        <v>0</v>
      </c>
      <c r="GR90">
        <v>0</v>
      </c>
      <c r="GS90">
        <v>3</v>
      </c>
      <c r="GT90">
        <v>0</v>
      </c>
      <c r="GU90" t="s">
        <v>3</v>
      </c>
      <c r="GV90">
        <f t="shared" si="89"/>
        <v>0</v>
      </c>
      <c r="GW90">
        <v>1</v>
      </c>
      <c r="GX90">
        <f t="shared" si="90"/>
        <v>0</v>
      </c>
      <c r="HA90">
        <v>0</v>
      </c>
      <c r="HB90">
        <v>0</v>
      </c>
      <c r="IK90">
        <v>0</v>
      </c>
    </row>
    <row r="91" spans="1:245" x14ac:dyDescent="0.2">
      <c r="A91">
        <v>17</v>
      </c>
      <c r="B91">
        <v>1</v>
      </c>
      <c r="C91">
        <f>ROW(SmtRes!A239)</f>
        <v>239</v>
      </c>
      <c r="D91">
        <f>ROW(EtalonRes!A227)</f>
        <v>227</v>
      </c>
      <c r="E91" t="s">
        <v>284</v>
      </c>
      <c r="F91" t="s">
        <v>285</v>
      </c>
      <c r="G91" t="s">
        <v>286</v>
      </c>
      <c r="H91" t="s">
        <v>17</v>
      </c>
      <c r="I91">
        <f>ROUND(6.7/100,9)</f>
        <v>6.7000000000000004E-2</v>
      </c>
      <c r="J91">
        <v>0</v>
      </c>
      <c r="O91">
        <f t="shared" si="57"/>
        <v>2763.61</v>
      </c>
      <c r="P91">
        <f t="shared" si="58"/>
        <v>2199.63</v>
      </c>
      <c r="Q91">
        <f t="shared" si="59"/>
        <v>388.16</v>
      </c>
      <c r="R91">
        <f t="shared" si="60"/>
        <v>45.11</v>
      </c>
      <c r="S91">
        <f t="shared" si="61"/>
        <v>175.82</v>
      </c>
      <c r="T91">
        <f t="shared" si="62"/>
        <v>0</v>
      </c>
      <c r="U91">
        <f t="shared" si="63"/>
        <v>3.5107062</v>
      </c>
      <c r="V91">
        <f t="shared" si="64"/>
        <v>0.72159000000000006</v>
      </c>
      <c r="W91">
        <f t="shared" si="65"/>
        <v>0</v>
      </c>
      <c r="X91">
        <f t="shared" si="66"/>
        <v>245.23</v>
      </c>
      <c r="Y91">
        <f t="shared" si="67"/>
        <v>141.4</v>
      </c>
      <c r="AA91">
        <v>39476960</v>
      </c>
      <c r="AB91">
        <f t="shared" si="68"/>
        <v>6728.85</v>
      </c>
      <c r="AC91">
        <f t="shared" si="69"/>
        <v>5355.67</v>
      </c>
      <c r="AD91">
        <f>ROUND((((((ET91*1.25)*1.2))-(((EU91*1.25)*1.2)))+AE91),2)</f>
        <v>945.09</v>
      </c>
      <c r="AE91">
        <f>ROUND((((EU91*1.25)*1.2)),2)</f>
        <v>109.83</v>
      </c>
      <c r="AF91">
        <f>ROUND((((EV91*1.15)*1.2)),2)</f>
        <v>428.09</v>
      </c>
      <c r="AG91">
        <f t="shared" si="70"/>
        <v>0</v>
      </c>
      <c r="AH91">
        <f>(((EW91*1.15)*1.2))</f>
        <v>52.398599999999995</v>
      </c>
      <c r="AI91">
        <f>(((EX91*1.25)*1.2))</f>
        <v>10.77</v>
      </c>
      <c r="AJ91">
        <f t="shared" si="71"/>
        <v>0</v>
      </c>
      <c r="AK91">
        <v>6295.94</v>
      </c>
      <c r="AL91">
        <v>5355.67</v>
      </c>
      <c r="AM91">
        <v>630.05999999999995</v>
      </c>
      <c r="AN91">
        <v>73.22</v>
      </c>
      <c r="AO91">
        <v>310.20999999999998</v>
      </c>
      <c r="AP91">
        <v>0</v>
      </c>
      <c r="AQ91">
        <v>37.97</v>
      </c>
      <c r="AR91">
        <v>7.18</v>
      </c>
      <c r="AS91">
        <v>0</v>
      </c>
      <c r="AT91">
        <v>111</v>
      </c>
      <c r="AU91">
        <v>64</v>
      </c>
      <c r="AV91">
        <v>1</v>
      </c>
      <c r="AW91">
        <v>1</v>
      </c>
      <c r="AZ91">
        <v>6.13</v>
      </c>
      <c r="BA91">
        <v>6.13</v>
      </c>
      <c r="BB91">
        <v>6.13</v>
      </c>
      <c r="BC91">
        <v>6.13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1</v>
      </c>
      <c r="BJ91" t="s">
        <v>287</v>
      </c>
      <c r="BM91">
        <v>11001</v>
      </c>
      <c r="BN91">
        <v>0</v>
      </c>
      <c r="BO91" t="s">
        <v>3</v>
      </c>
      <c r="BP91">
        <v>0</v>
      </c>
      <c r="BQ91">
        <v>2</v>
      </c>
      <c r="BR91">
        <v>0</v>
      </c>
      <c r="BS91">
        <v>6.13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123</v>
      </c>
      <c r="CA91">
        <v>75</v>
      </c>
      <c r="CF91">
        <v>0</v>
      </c>
      <c r="CG91">
        <v>0</v>
      </c>
      <c r="CM91">
        <v>0</v>
      </c>
      <c r="CN91" t="s">
        <v>1274</v>
      </c>
      <c r="CO91">
        <v>0</v>
      </c>
      <c r="CP91">
        <f t="shared" si="72"/>
        <v>2763.61</v>
      </c>
      <c r="CQ91">
        <f t="shared" si="73"/>
        <v>32830.257100000003</v>
      </c>
      <c r="CR91">
        <f t="shared" si="74"/>
        <v>5793.4017000000003</v>
      </c>
      <c r="CS91">
        <f t="shared" si="75"/>
        <v>673.25789999999995</v>
      </c>
      <c r="CT91">
        <f t="shared" si="76"/>
        <v>2624.1916999999999</v>
      </c>
      <c r="CU91">
        <f t="shared" si="77"/>
        <v>0</v>
      </c>
      <c r="CV91">
        <f t="shared" si="78"/>
        <v>52.398599999999995</v>
      </c>
      <c r="CW91">
        <f t="shared" si="79"/>
        <v>10.77</v>
      </c>
      <c r="CX91">
        <f t="shared" si="80"/>
        <v>0</v>
      </c>
      <c r="CY91">
        <f t="shared" si="81"/>
        <v>245.23230000000001</v>
      </c>
      <c r="CZ91">
        <f t="shared" si="82"/>
        <v>141.39520000000002</v>
      </c>
      <c r="DC91" t="s">
        <v>3</v>
      </c>
      <c r="DD91" t="s">
        <v>3</v>
      </c>
      <c r="DE91" t="s">
        <v>53</v>
      </c>
      <c r="DF91" t="s">
        <v>53</v>
      </c>
      <c r="DG91" t="s">
        <v>54</v>
      </c>
      <c r="DH91" t="s">
        <v>3</v>
      </c>
      <c r="DI91" t="s">
        <v>54</v>
      </c>
      <c r="DJ91" t="s">
        <v>53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17</v>
      </c>
      <c r="DW91" t="s">
        <v>17</v>
      </c>
      <c r="DX91">
        <v>100</v>
      </c>
      <c r="EE91">
        <v>39174504</v>
      </c>
      <c r="EF91">
        <v>2</v>
      </c>
      <c r="EG91" t="s">
        <v>13</v>
      </c>
      <c r="EH91">
        <v>0</v>
      </c>
      <c r="EI91" t="s">
        <v>3</v>
      </c>
      <c r="EJ91">
        <v>1</v>
      </c>
      <c r="EK91">
        <v>11001</v>
      </c>
      <c r="EL91" t="s">
        <v>136</v>
      </c>
      <c r="EM91" t="s">
        <v>137</v>
      </c>
      <c r="EO91" t="s">
        <v>89</v>
      </c>
      <c r="EQ91">
        <v>0</v>
      </c>
      <c r="ER91">
        <v>6295.94</v>
      </c>
      <c r="ES91">
        <v>5355.67</v>
      </c>
      <c r="ET91">
        <v>630.05999999999995</v>
      </c>
      <c r="EU91">
        <v>73.22</v>
      </c>
      <c r="EV91">
        <v>310.20999999999998</v>
      </c>
      <c r="EW91">
        <v>37.97</v>
      </c>
      <c r="EX91">
        <v>7.18</v>
      </c>
      <c r="EY91">
        <v>0</v>
      </c>
      <c r="FQ91">
        <v>0</v>
      </c>
      <c r="FR91">
        <f t="shared" si="83"/>
        <v>0</v>
      </c>
      <c r="FS91">
        <v>0</v>
      </c>
      <c r="FT91" t="s">
        <v>29</v>
      </c>
      <c r="FU91" t="s">
        <v>30</v>
      </c>
      <c r="FX91">
        <v>110.7</v>
      </c>
      <c r="FY91">
        <v>63.75</v>
      </c>
      <c r="GA91" t="s">
        <v>3</v>
      </c>
      <c r="GD91">
        <v>0</v>
      </c>
      <c r="GF91">
        <v>1478395016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84"/>
        <v>0</v>
      </c>
      <c r="GM91">
        <f t="shared" si="85"/>
        <v>3150.24</v>
      </c>
      <c r="GN91">
        <f t="shared" si="86"/>
        <v>3150.24</v>
      </c>
      <c r="GO91">
        <f t="shared" si="87"/>
        <v>0</v>
      </c>
      <c r="GP91">
        <f t="shared" si="88"/>
        <v>0</v>
      </c>
      <c r="GR91">
        <v>0</v>
      </c>
      <c r="GS91">
        <v>3</v>
      </c>
      <c r="GT91">
        <v>0</v>
      </c>
      <c r="GU91" t="s">
        <v>3</v>
      </c>
      <c r="GV91">
        <f t="shared" si="89"/>
        <v>0</v>
      </c>
      <c r="GW91">
        <v>1</v>
      </c>
      <c r="GX91">
        <f t="shared" si="90"/>
        <v>0</v>
      </c>
      <c r="HA91">
        <v>0</v>
      </c>
      <c r="HB91">
        <v>0</v>
      </c>
      <c r="IK91">
        <v>0</v>
      </c>
    </row>
    <row r="92" spans="1:245" x14ac:dyDescent="0.2">
      <c r="A92">
        <v>17</v>
      </c>
      <c r="B92">
        <v>1</v>
      </c>
      <c r="C92">
        <f>ROW(SmtRes!A248)</f>
        <v>248</v>
      </c>
      <c r="D92">
        <f>ROW(EtalonRes!A234)</f>
        <v>234</v>
      </c>
      <c r="E92" t="s">
        <v>288</v>
      </c>
      <c r="F92" t="s">
        <v>289</v>
      </c>
      <c r="G92" t="s">
        <v>290</v>
      </c>
      <c r="H92" t="s">
        <v>17</v>
      </c>
      <c r="I92">
        <f>ROUND(15.6/100,9)</f>
        <v>0.156</v>
      </c>
      <c r="J92">
        <v>0</v>
      </c>
      <c r="O92">
        <f t="shared" ref="O92:O98" si="98">ROUND(CP92,2)</f>
        <v>528.67999999999995</v>
      </c>
      <c r="P92">
        <f t="shared" ref="P92:P98" si="99">ROUND(CQ92*I92,2)</f>
        <v>0.87</v>
      </c>
      <c r="Q92">
        <f t="shared" ref="Q92:Q98" si="100">ROUND(CR92*I92,2)</f>
        <v>62.84</v>
      </c>
      <c r="R92">
        <f t="shared" ref="R92:R98" si="101">ROUND(CS92*I92,2)</f>
        <v>15.11</v>
      </c>
      <c r="S92">
        <f t="shared" ref="S92:S98" si="102">ROUND(CT92*I92,2)</f>
        <v>464.97</v>
      </c>
      <c r="T92">
        <f t="shared" ref="T92:T98" si="103">ROUND(CU92*I92,2)</f>
        <v>0</v>
      </c>
      <c r="U92">
        <f t="shared" ref="U92:U98" si="104">CV92*I92</f>
        <v>9.1278719999999982</v>
      </c>
      <c r="V92">
        <f t="shared" ref="V92:V98" si="105">CW92*I92</f>
        <v>0.19889999999999999</v>
      </c>
      <c r="W92">
        <f t="shared" ref="W92:W98" si="106">ROUND(CX92*I92,2)</f>
        <v>0</v>
      </c>
      <c r="X92">
        <f t="shared" ref="X92:X98" si="107">ROUND(CY92,2)</f>
        <v>532.89</v>
      </c>
      <c r="Y92">
        <f t="shared" ref="Y92:Y98" si="108">ROUND(CZ92,2)</f>
        <v>307.25</v>
      </c>
      <c r="AA92">
        <v>39476960</v>
      </c>
      <c r="AB92">
        <f t="shared" ref="AB92:AB98" si="109">ROUND((AC92+AD92+AF92),2)</f>
        <v>552.85</v>
      </c>
      <c r="AC92">
        <f t="shared" si="69"/>
        <v>0.91</v>
      </c>
      <c r="AD92">
        <f>ROUND((((((ET92*1.25)*1.2))-(((EU92*1.25)*1.2)))+AE92),2)</f>
        <v>65.709999999999994</v>
      </c>
      <c r="AE92">
        <f>ROUND((((EU92*1.25)*1.2)),2)</f>
        <v>15.8</v>
      </c>
      <c r="AF92">
        <f>ROUND((((EV92*1.15)*1.2)),2)</f>
        <v>486.23</v>
      </c>
      <c r="AG92">
        <f t="shared" ref="AG92:AG98" si="110">ROUND((AP92),2)</f>
        <v>0</v>
      </c>
      <c r="AH92">
        <f>(((EW92*1.15)*1.2))</f>
        <v>58.511999999999993</v>
      </c>
      <c r="AI92">
        <f>(((EX92*1.25)*1.2))</f>
        <v>1.2749999999999999</v>
      </c>
      <c r="AJ92">
        <f t="shared" ref="AJ92:AJ98" si="111">ROUND((AS92),2)</f>
        <v>0</v>
      </c>
      <c r="AK92">
        <v>397.05</v>
      </c>
      <c r="AL92">
        <v>0.91</v>
      </c>
      <c r="AM92">
        <v>43.8</v>
      </c>
      <c r="AN92">
        <v>10.53</v>
      </c>
      <c r="AO92">
        <v>352.34</v>
      </c>
      <c r="AP92">
        <v>0</v>
      </c>
      <c r="AQ92">
        <v>42.4</v>
      </c>
      <c r="AR92">
        <v>0.85</v>
      </c>
      <c r="AS92">
        <v>0</v>
      </c>
      <c r="AT92">
        <v>111</v>
      </c>
      <c r="AU92">
        <v>64</v>
      </c>
      <c r="AV92">
        <v>1</v>
      </c>
      <c r="AW92">
        <v>1</v>
      </c>
      <c r="AZ92">
        <v>6.13</v>
      </c>
      <c r="BA92">
        <v>6.13</v>
      </c>
      <c r="BB92">
        <v>6.13</v>
      </c>
      <c r="BC92">
        <v>6.13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1</v>
      </c>
      <c r="BJ92" t="s">
        <v>291</v>
      </c>
      <c r="BM92">
        <v>11001</v>
      </c>
      <c r="BN92">
        <v>0</v>
      </c>
      <c r="BO92" t="s">
        <v>3</v>
      </c>
      <c r="BP92">
        <v>0</v>
      </c>
      <c r="BQ92">
        <v>2</v>
      </c>
      <c r="BR92">
        <v>0</v>
      </c>
      <c r="BS92">
        <v>6.13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123</v>
      </c>
      <c r="CA92">
        <v>75</v>
      </c>
      <c r="CF92">
        <v>0</v>
      </c>
      <c r="CG92">
        <v>0</v>
      </c>
      <c r="CM92">
        <v>0</v>
      </c>
      <c r="CN92" t="s">
        <v>1274</v>
      </c>
      <c r="CO92">
        <v>0</v>
      </c>
      <c r="CP92">
        <f t="shared" ref="CP92:CP98" si="112">(P92+Q92+S92)</f>
        <v>528.68000000000006</v>
      </c>
      <c r="CQ92">
        <f t="shared" ref="CQ92:CQ98" si="113">AC92*BC92</f>
        <v>5.5783000000000005</v>
      </c>
      <c r="CR92">
        <f t="shared" ref="CR92:CR98" si="114">AD92*BB92</f>
        <v>402.80229999999995</v>
      </c>
      <c r="CS92">
        <f t="shared" ref="CS92:CS98" si="115">AE92*BS92</f>
        <v>96.853999999999999</v>
      </c>
      <c r="CT92">
        <f t="shared" ref="CT92:CT98" si="116">AF92*BA92</f>
        <v>2980.5898999999999</v>
      </c>
      <c r="CU92">
        <f t="shared" ref="CU92:CU98" si="117">AG92</f>
        <v>0</v>
      </c>
      <c r="CV92">
        <f t="shared" ref="CV92:CV98" si="118">AH92</f>
        <v>58.511999999999993</v>
      </c>
      <c r="CW92">
        <f t="shared" ref="CW92:CW98" si="119">AI92</f>
        <v>1.2749999999999999</v>
      </c>
      <c r="CX92">
        <f t="shared" ref="CX92:CX98" si="120">AJ92</f>
        <v>0</v>
      </c>
      <c r="CY92">
        <f t="shared" ref="CY92:CY98" si="121">(((S92+R92)*AT92)/100)</f>
        <v>532.88880000000006</v>
      </c>
      <c r="CZ92">
        <f t="shared" ref="CZ92:CZ98" si="122">(((S92+R92)*AU92)/100)</f>
        <v>307.25120000000004</v>
      </c>
      <c r="DC92" t="s">
        <v>3</v>
      </c>
      <c r="DD92" t="s">
        <v>3</v>
      </c>
      <c r="DE92" t="s">
        <v>53</v>
      </c>
      <c r="DF92" t="s">
        <v>53</v>
      </c>
      <c r="DG92" t="s">
        <v>54</v>
      </c>
      <c r="DH92" t="s">
        <v>3</v>
      </c>
      <c r="DI92" t="s">
        <v>54</v>
      </c>
      <c r="DJ92" t="s">
        <v>53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17</v>
      </c>
      <c r="DW92" t="s">
        <v>17</v>
      </c>
      <c r="DX92">
        <v>100</v>
      </c>
      <c r="EE92">
        <v>39174504</v>
      </c>
      <c r="EF92">
        <v>2</v>
      </c>
      <c r="EG92" t="s">
        <v>13</v>
      </c>
      <c r="EH92">
        <v>0</v>
      </c>
      <c r="EI92" t="s">
        <v>3</v>
      </c>
      <c r="EJ92">
        <v>1</v>
      </c>
      <c r="EK92">
        <v>11001</v>
      </c>
      <c r="EL92" t="s">
        <v>136</v>
      </c>
      <c r="EM92" t="s">
        <v>137</v>
      </c>
      <c r="EO92" t="s">
        <v>89</v>
      </c>
      <c r="EQ92">
        <v>0</v>
      </c>
      <c r="ER92">
        <v>397.05</v>
      </c>
      <c r="ES92">
        <v>0.91</v>
      </c>
      <c r="ET92">
        <v>43.8</v>
      </c>
      <c r="EU92">
        <v>10.53</v>
      </c>
      <c r="EV92">
        <v>352.34</v>
      </c>
      <c r="EW92">
        <v>42.4</v>
      </c>
      <c r="EX92">
        <v>0.85</v>
      </c>
      <c r="EY92">
        <v>0</v>
      </c>
      <c r="FQ92">
        <v>0</v>
      </c>
      <c r="FR92">
        <f t="shared" ref="FR92:FR98" si="123">ROUND(IF(AND(BH92=3,BI92=3),P92,0),2)</f>
        <v>0</v>
      </c>
      <c r="FS92">
        <v>0</v>
      </c>
      <c r="FT92" t="s">
        <v>29</v>
      </c>
      <c r="FU92" t="s">
        <v>30</v>
      </c>
      <c r="FX92">
        <v>110.7</v>
      </c>
      <c r="FY92">
        <v>63.75</v>
      </c>
      <c r="GA92" t="s">
        <v>3</v>
      </c>
      <c r="GD92">
        <v>0</v>
      </c>
      <c r="GF92">
        <v>35623097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98" si="124">ROUND(IF(AND(BH92=3,BI92=3,FS92&lt;&gt;0),P92,0),2)</f>
        <v>0</v>
      </c>
      <c r="GM92">
        <f t="shared" ref="GM92:GM98" si="125">ROUND(O92+X92+Y92+GK92,2)+GX92</f>
        <v>1368.82</v>
      </c>
      <c r="GN92">
        <f t="shared" ref="GN92:GN98" si="126">IF(OR(BI92=0,BI92=1),ROUND(O92+X92+Y92+GK92,2),0)</f>
        <v>1368.82</v>
      </c>
      <c r="GO92">
        <f t="shared" ref="GO92:GO98" si="127">IF(BI92=2,ROUND(O92+X92+Y92+GK92,2),0)</f>
        <v>0</v>
      </c>
      <c r="GP92">
        <f t="shared" ref="GP92:GP98" si="128">IF(BI92=4,ROUND(O92+X92+Y92+GK92,2)+GX92,0)</f>
        <v>0</v>
      </c>
      <c r="GR92">
        <v>0</v>
      </c>
      <c r="GS92">
        <v>3</v>
      </c>
      <c r="GT92">
        <v>0</v>
      </c>
      <c r="GU92" t="s">
        <v>3</v>
      </c>
      <c r="GV92">
        <f t="shared" ref="GV92:GV98" si="129">ROUND(GT92,2)</f>
        <v>0</v>
      </c>
      <c r="GW92">
        <v>1</v>
      </c>
      <c r="GX92">
        <f t="shared" ref="GX92:GX98" si="130">ROUND(GV92*GW92*I92,2)</f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245</v>
      </c>
      <c r="E93" t="s">
        <v>292</v>
      </c>
      <c r="F93" t="s">
        <v>293</v>
      </c>
      <c r="G93" t="s">
        <v>294</v>
      </c>
      <c r="H93" t="s">
        <v>61</v>
      </c>
      <c r="I93">
        <f>I92*J93</f>
        <v>15.912000000000001</v>
      </c>
      <c r="J93">
        <v>102</v>
      </c>
      <c r="O93">
        <f t="shared" si="98"/>
        <v>17187.62</v>
      </c>
      <c r="P93">
        <f t="shared" si="99"/>
        <v>17187.62</v>
      </c>
      <c r="Q93">
        <f t="shared" si="100"/>
        <v>0</v>
      </c>
      <c r="R93">
        <f t="shared" si="101"/>
        <v>0</v>
      </c>
      <c r="S93">
        <f t="shared" si="102"/>
        <v>0</v>
      </c>
      <c r="T93">
        <f t="shared" si="103"/>
        <v>0</v>
      </c>
      <c r="U93">
        <f t="shared" si="104"/>
        <v>0</v>
      </c>
      <c r="V93">
        <f t="shared" si="105"/>
        <v>0</v>
      </c>
      <c r="W93">
        <f t="shared" si="106"/>
        <v>0</v>
      </c>
      <c r="X93">
        <f t="shared" si="107"/>
        <v>0</v>
      </c>
      <c r="Y93">
        <f t="shared" si="108"/>
        <v>0</v>
      </c>
      <c r="AA93">
        <v>39476960</v>
      </c>
      <c r="AB93">
        <f t="shared" si="109"/>
        <v>176.21</v>
      </c>
      <c r="AC93">
        <f t="shared" si="69"/>
        <v>176.21</v>
      </c>
      <c r="AD93">
        <f>ROUND((((ET93)-(EU93))+AE93),2)</f>
        <v>0</v>
      </c>
      <c r="AE93">
        <f t="shared" ref="AE93:AF96" si="131">ROUND((EU93),2)</f>
        <v>0</v>
      </c>
      <c r="AF93">
        <f t="shared" si="131"/>
        <v>0</v>
      </c>
      <c r="AG93">
        <f t="shared" si="110"/>
        <v>0</v>
      </c>
      <c r="AH93">
        <f t="shared" ref="AH93:AI96" si="132">(EW93)</f>
        <v>0</v>
      </c>
      <c r="AI93">
        <f t="shared" si="132"/>
        <v>0</v>
      </c>
      <c r="AJ93">
        <f t="shared" si="111"/>
        <v>0</v>
      </c>
      <c r="AK93">
        <v>176.21</v>
      </c>
      <c r="AL93">
        <v>176.21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111</v>
      </c>
      <c r="AU93">
        <v>64</v>
      </c>
      <c r="AV93">
        <v>1</v>
      </c>
      <c r="AW93">
        <v>1</v>
      </c>
      <c r="AZ93">
        <v>6.13</v>
      </c>
      <c r="BA93">
        <v>1</v>
      </c>
      <c r="BB93">
        <v>1</v>
      </c>
      <c r="BC93">
        <v>6.13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295</v>
      </c>
      <c r="BM93">
        <v>11001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123</v>
      </c>
      <c r="CA93">
        <v>75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12"/>
        <v>17187.62</v>
      </c>
      <c r="CQ93">
        <f t="shared" si="113"/>
        <v>1080.1673000000001</v>
      </c>
      <c r="CR93">
        <f t="shared" si="114"/>
        <v>0</v>
      </c>
      <c r="CS93">
        <f t="shared" si="115"/>
        <v>0</v>
      </c>
      <c r="CT93">
        <f t="shared" si="116"/>
        <v>0</v>
      </c>
      <c r="CU93">
        <f t="shared" si="117"/>
        <v>0</v>
      </c>
      <c r="CV93">
        <f t="shared" si="118"/>
        <v>0</v>
      </c>
      <c r="CW93">
        <f t="shared" si="119"/>
        <v>0</v>
      </c>
      <c r="CX93">
        <f t="shared" si="120"/>
        <v>0</v>
      </c>
      <c r="CY93">
        <f t="shared" si="121"/>
        <v>0</v>
      </c>
      <c r="CZ93">
        <f t="shared" si="122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61</v>
      </c>
      <c r="DW93" t="s">
        <v>61</v>
      </c>
      <c r="DX93">
        <v>1</v>
      </c>
      <c r="EE93">
        <v>39174504</v>
      </c>
      <c r="EF93">
        <v>2</v>
      </c>
      <c r="EG93" t="s">
        <v>13</v>
      </c>
      <c r="EH93">
        <v>0</v>
      </c>
      <c r="EI93" t="s">
        <v>3</v>
      </c>
      <c r="EJ93">
        <v>1</v>
      </c>
      <c r="EK93">
        <v>11001</v>
      </c>
      <c r="EL93" t="s">
        <v>136</v>
      </c>
      <c r="EM93" t="s">
        <v>137</v>
      </c>
      <c r="EO93" t="s">
        <v>3</v>
      </c>
      <c r="EQ93">
        <v>0</v>
      </c>
      <c r="ER93">
        <v>176.21</v>
      </c>
      <c r="ES93">
        <v>176.21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3"/>
        <v>0</v>
      </c>
      <c r="FS93">
        <v>0</v>
      </c>
      <c r="FT93" t="s">
        <v>29</v>
      </c>
      <c r="FU93" t="s">
        <v>30</v>
      </c>
      <c r="FX93">
        <v>110.7</v>
      </c>
      <c r="FY93">
        <v>63.75</v>
      </c>
      <c r="GA93" t="s">
        <v>3</v>
      </c>
      <c r="GD93">
        <v>0</v>
      </c>
      <c r="GF93">
        <v>-1736667289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24"/>
        <v>0</v>
      </c>
      <c r="GM93">
        <f t="shared" si="125"/>
        <v>17187.62</v>
      </c>
      <c r="GN93">
        <f t="shared" si="126"/>
        <v>17187.62</v>
      </c>
      <c r="GO93">
        <f t="shared" si="127"/>
        <v>0</v>
      </c>
      <c r="GP93">
        <f t="shared" si="128"/>
        <v>0</v>
      </c>
      <c r="GR93">
        <v>0</v>
      </c>
      <c r="GS93">
        <v>3</v>
      </c>
      <c r="GT93">
        <v>0</v>
      </c>
      <c r="GU93" t="s">
        <v>3</v>
      </c>
      <c r="GV93">
        <f t="shared" si="129"/>
        <v>0</v>
      </c>
      <c r="GW93">
        <v>1</v>
      </c>
      <c r="GX93">
        <f t="shared" si="130"/>
        <v>0</v>
      </c>
      <c r="HA93">
        <v>0</v>
      </c>
      <c r="HB93">
        <v>0</v>
      </c>
      <c r="IK93">
        <v>0</v>
      </c>
    </row>
    <row r="94" spans="1:245" x14ac:dyDescent="0.2">
      <c r="A94">
        <v>18</v>
      </c>
      <c r="B94">
        <v>1</v>
      </c>
      <c r="C94">
        <v>247</v>
      </c>
      <c r="E94" t="s">
        <v>296</v>
      </c>
      <c r="F94" t="s">
        <v>297</v>
      </c>
      <c r="G94" t="s">
        <v>298</v>
      </c>
      <c r="H94" t="s">
        <v>34</v>
      </c>
      <c r="I94">
        <f>I92*J94</f>
        <v>7.7999999999999996E-3</v>
      </c>
      <c r="J94">
        <v>4.9999999999999996E-2</v>
      </c>
      <c r="O94">
        <f t="shared" si="98"/>
        <v>540.29999999999995</v>
      </c>
      <c r="P94">
        <f t="shared" si="99"/>
        <v>540.29999999999995</v>
      </c>
      <c r="Q94">
        <f t="shared" si="100"/>
        <v>0</v>
      </c>
      <c r="R94">
        <f t="shared" si="101"/>
        <v>0</v>
      </c>
      <c r="S94">
        <f t="shared" si="102"/>
        <v>0</v>
      </c>
      <c r="T94">
        <f t="shared" si="103"/>
        <v>0</v>
      </c>
      <c r="U94">
        <f t="shared" si="104"/>
        <v>0</v>
      </c>
      <c r="V94">
        <f t="shared" si="105"/>
        <v>0</v>
      </c>
      <c r="W94">
        <f t="shared" si="106"/>
        <v>0</v>
      </c>
      <c r="X94">
        <f t="shared" si="107"/>
        <v>0</v>
      </c>
      <c r="Y94">
        <f t="shared" si="108"/>
        <v>0</v>
      </c>
      <c r="AA94">
        <v>39476960</v>
      </c>
      <c r="AB94">
        <f t="shared" si="109"/>
        <v>11300</v>
      </c>
      <c r="AC94">
        <f t="shared" si="69"/>
        <v>11300</v>
      </c>
      <c r="AD94">
        <f>ROUND((((ET94)-(EU94))+AE94),2)</f>
        <v>0</v>
      </c>
      <c r="AE94">
        <f t="shared" si="131"/>
        <v>0</v>
      </c>
      <c r="AF94">
        <f t="shared" si="131"/>
        <v>0</v>
      </c>
      <c r="AG94">
        <f t="shared" si="110"/>
        <v>0</v>
      </c>
      <c r="AH94">
        <f t="shared" si="132"/>
        <v>0</v>
      </c>
      <c r="AI94">
        <f t="shared" si="132"/>
        <v>0</v>
      </c>
      <c r="AJ94">
        <f t="shared" si="111"/>
        <v>0</v>
      </c>
      <c r="AK94">
        <v>11300</v>
      </c>
      <c r="AL94">
        <v>11300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111</v>
      </c>
      <c r="AU94">
        <v>64</v>
      </c>
      <c r="AV94">
        <v>1</v>
      </c>
      <c r="AW94">
        <v>1</v>
      </c>
      <c r="AZ94">
        <v>6.13</v>
      </c>
      <c r="BA94">
        <v>1</v>
      </c>
      <c r="BB94">
        <v>1</v>
      </c>
      <c r="BC94">
        <v>6.13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1</v>
      </c>
      <c r="BJ94" t="s">
        <v>299</v>
      </c>
      <c r="BM94">
        <v>11001</v>
      </c>
      <c r="BN94">
        <v>0</v>
      </c>
      <c r="BO94" t="s">
        <v>3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123</v>
      </c>
      <c r="CA94">
        <v>75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112"/>
        <v>540.29999999999995</v>
      </c>
      <c r="CQ94">
        <f t="shared" si="113"/>
        <v>69269</v>
      </c>
      <c r="CR94">
        <f t="shared" si="114"/>
        <v>0</v>
      </c>
      <c r="CS94">
        <f t="shared" si="115"/>
        <v>0</v>
      </c>
      <c r="CT94">
        <f t="shared" si="116"/>
        <v>0</v>
      </c>
      <c r="CU94">
        <f t="shared" si="117"/>
        <v>0</v>
      </c>
      <c r="CV94">
        <f t="shared" si="118"/>
        <v>0</v>
      </c>
      <c r="CW94">
        <f t="shared" si="119"/>
        <v>0</v>
      </c>
      <c r="CX94">
        <f t="shared" si="120"/>
        <v>0</v>
      </c>
      <c r="CY94">
        <f t="shared" si="121"/>
        <v>0</v>
      </c>
      <c r="CZ94">
        <f t="shared" si="122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1009</v>
      </c>
      <c r="DV94" t="s">
        <v>34</v>
      </c>
      <c r="DW94" t="s">
        <v>34</v>
      </c>
      <c r="DX94">
        <v>1000</v>
      </c>
      <c r="EE94">
        <v>39174504</v>
      </c>
      <c r="EF94">
        <v>2</v>
      </c>
      <c r="EG94" t="s">
        <v>13</v>
      </c>
      <c r="EH94">
        <v>0</v>
      </c>
      <c r="EI94" t="s">
        <v>3</v>
      </c>
      <c r="EJ94">
        <v>1</v>
      </c>
      <c r="EK94">
        <v>11001</v>
      </c>
      <c r="EL94" t="s">
        <v>136</v>
      </c>
      <c r="EM94" t="s">
        <v>137</v>
      </c>
      <c r="EO94" t="s">
        <v>3</v>
      </c>
      <c r="EQ94">
        <v>0</v>
      </c>
      <c r="ER94">
        <v>11300</v>
      </c>
      <c r="ES94">
        <v>11300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123"/>
        <v>0</v>
      </c>
      <c r="FS94">
        <v>0</v>
      </c>
      <c r="FT94" t="s">
        <v>29</v>
      </c>
      <c r="FU94" t="s">
        <v>30</v>
      </c>
      <c r="FX94">
        <v>110.7</v>
      </c>
      <c r="FY94">
        <v>63.75</v>
      </c>
      <c r="GA94" t="s">
        <v>3</v>
      </c>
      <c r="GD94">
        <v>0</v>
      </c>
      <c r="GF94">
        <v>486476101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24"/>
        <v>0</v>
      </c>
      <c r="GM94">
        <f t="shared" si="125"/>
        <v>540.29999999999995</v>
      </c>
      <c r="GN94">
        <f t="shared" si="126"/>
        <v>540.29999999999995</v>
      </c>
      <c r="GO94">
        <f t="shared" si="127"/>
        <v>0</v>
      </c>
      <c r="GP94">
        <f t="shared" si="128"/>
        <v>0</v>
      </c>
      <c r="GR94">
        <v>0</v>
      </c>
      <c r="GS94">
        <v>3</v>
      </c>
      <c r="GT94">
        <v>0</v>
      </c>
      <c r="GU94" t="s">
        <v>3</v>
      </c>
      <c r="GV94">
        <f t="shared" si="129"/>
        <v>0</v>
      </c>
      <c r="GW94">
        <v>1</v>
      </c>
      <c r="GX94">
        <f t="shared" si="130"/>
        <v>0</v>
      </c>
      <c r="HA94">
        <v>0</v>
      </c>
      <c r="HB94">
        <v>0</v>
      </c>
      <c r="IK94">
        <v>0</v>
      </c>
    </row>
    <row r="95" spans="1:245" x14ac:dyDescent="0.2">
      <c r="A95">
        <v>18</v>
      </c>
      <c r="B95">
        <v>1</v>
      </c>
      <c r="C95">
        <v>244</v>
      </c>
      <c r="E95" t="s">
        <v>300</v>
      </c>
      <c r="F95" t="s">
        <v>301</v>
      </c>
      <c r="G95" t="s">
        <v>302</v>
      </c>
      <c r="H95" t="s">
        <v>61</v>
      </c>
      <c r="I95">
        <f>I92*J95</f>
        <v>15.912000000000001</v>
      </c>
      <c r="J95">
        <v>102</v>
      </c>
      <c r="O95">
        <f t="shared" si="98"/>
        <v>0</v>
      </c>
      <c r="P95">
        <f t="shared" si="99"/>
        <v>0</v>
      </c>
      <c r="Q95">
        <f t="shared" si="100"/>
        <v>0</v>
      </c>
      <c r="R95">
        <f t="shared" si="101"/>
        <v>0</v>
      </c>
      <c r="S95">
        <f t="shared" si="102"/>
        <v>0</v>
      </c>
      <c r="T95">
        <f t="shared" si="103"/>
        <v>0</v>
      </c>
      <c r="U95">
        <f t="shared" si="104"/>
        <v>0</v>
      </c>
      <c r="V95">
        <f t="shared" si="105"/>
        <v>0</v>
      </c>
      <c r="W95">
        <f t="shared" si="106"/>
        <v>0</v>
      </c>
      <c r="X95">
        <f t="shared" si="107"/>
        <v>0</v>
      </c>
      <c r="Y95">
        <f t="shared" si="108"/>
        <v>0</v>
      </c>
      <c r="AA95">
        <v>39476960</v>
      </c>
      <c r="AB95">
        <f t="shared" si="109"/>
        <v>0</v>
      </c>
      <c r="AC95">
        <f t="shared" si="69"/>
        <v>0</v>
      </c>
      <c r="AD95">
        <f>ROUND((((ET95)-(EU95))+AE95),2)</f>
        <v>0</v>
      </c>
      <c r="AE95">
        <f t="shared" si="131"/>
        <v>0</v>
      </c>
      <c r="AF95">
        <f t="shared" si="131"/>
        <v>0</v>
      </c>
      <c r="AG95">
        <f t="shared" si="110"/>
        <v>0</v>
      </c>
      <c r="AH95">
        <f t="shared" si="132"/>
        <v>0</v>
      </c>
      <c r="AI95">
        <f t="shared" si="132"/>
        <v>0</v>
      </c>
      <c r="AJ95">
        <f t="shared" si="111"/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111</v>
      </c>
      <c r="AU95">
        <v>64</v>
      </c>
      <c r="AV95">
        <v>1</v>
      </c>
      <c r="AW95">
        <v>1</v>
      </c>
      <c r="AZ95">
        <v>6.13</v>
      </c>
      <c r="BA95">
        <v>1</v>
      </c>
      <c r="BB95">
        <v>1</v>
      </c>
      <c r="BC95">
        <v>6.13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3</v>
      </c>
      <c r="BM95">
        <v>11001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123</v>
      </c>
      <c r="CA95">
        <v>75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12"/>
        <v>0</v>
      </c>
      <c r="CQ95">
        <f t="shared" si="113"/>
        <v>0</v>
      </c>
      <c r="CR95">
        <f t="shared" si="114"/>
        <v>0</v>
      </c>
      <c r="CS95">
        <f t="shared" si="115"/>
        <v>0</v>
      </c>
      <c r="CT95">
        <f t="shared" si="116"/>
        <v>0</v>
      </c>
      <c r="CU95">
        <f t="shared" si="117"/>
        <v>0</v>
      </c>
      <c r="CV95">
        <f t="shared" si="118"/>
        <v>0</v>
      </c>
      <c r="CW95">
        <f t="shared" si="119"/>
        <v>0</v>
      </c>
      <c r="CX95">
        <f t="shared" si="120"/>
        <v>0</v>
      </c>
      <c r="CY95">
        <f t="shared" si="121"/>
        <v>0</v>
      </c>
      <c r="CZ95">
        <f t="shared" si="122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61</v>
      </c>
      <c r="DW95" t="s">
        <v>61</v>
      </c>
      <c r="DX95">
        <v>1</v>
      </c>
      <c r="EE95">
        <v>39174504</v>
      </c>
      <c r="EF95">
        <v>2</v>
      </c>
      <c r="EG95" t="s">
        <v>13</v>
      </c>
      <c r="EH95">
        <v>0</v>
      </c>
      <c r="EI95" t="s">
        <v>3</v>
      </c>
      <c r="EJ95">
        <v>1</v>
      </c>
      <c r="EK95">
        <v>11001</v>
      </c>
      <c r="EL95" t="s">
        <v>136</v>
      </c>
      <c r="EM95" t="s">
        <v>137</v>
      </c>
      <c r="EO95" t="s">
        <v>3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3"/>
        <v>0</v>
      </c>
      <c r="FS95">
        <v>0</v>
      </c>
      <c r="FT95" t="s">
        <v>29</v>
      </c>
      <c r="FU95" t="s">
        <v>30</v>
      </c>
      <c r="FX95">
        <v>110.7</v>
      </c>
      <c r="FY95">
        <v>63.75</v>
      </c>
      <c r="GA95" t="s">
        <v>3</v>
      </c>
      <c r="GD95">
        <v>0</v>
      </c>
      <c r="GF95">
        <v>-919469713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24"/>
        <v>0</v>
      </c>
      <c r="GM95">
        <f t="shared" si="125"/>
        <v>0</v>
      </c>
      <c r="GN95">
        <f t="shared" si="126"/>
        <v>0</v>
      </c>
      <c r="GO95">
        <f t="shared" si="127"/>
        <v>0</v>
      </c>
      <c r="GP95">
        <f t="shared" si="128"/>
        <v>0</v>
      </c>
      <c r="GR95">
        <v>0</v>
      </c>
      <c r="GS95">
        <v>3</v>
      </c>
      <c r="GT95">
        <v>0</v>
      </c>
      <c r="GU95" t="s">
        <v>3</v>
      </c>
      <c r="GV95">
        <f t="shared" si="129"/>
        <v>0</v>
      </c>
      <c r="GW95">
        <v>1</v>
      </c>
      <c r="GX95">
        <f t="shared" si="130"/>
        <v>0</v>
      </c>
      <c r="HA95">
        <v>0</v>
      </c>
      <c r="HB95">
        <v>0</v>
      </c>
      <c r="IK95">
        <v>0</v>
      </c>
    </row>
    <row r="96" spans="1:245" x14ac:dyDescent="0.2">
      <c r="A96">
        <v>18</v>
      </c>
      <c r="B96">
        <v>1</v>
      </c>
      <c r="C96">
        <v>248</v>
      </c>
      <c r="E96" t="s">
        <v>303</v>
      </c>
      <c r="F96" t="s">
        <v>229</v>
      </c>
      <c r="G96" t="s">
        <v>304</v>
      </c>
      <c r="H96" t="s">
        <v>217</v>
      </c>
      <c r="I96">
        <f>I92*J96</f>
        <v>7.8</v>
      </c>
      <c r="J96">
        <v>50</v>
      </c>
      <c r="O96">
        <f t="shared" si="98"/>
        <v>0</v>
      </c>
      <c r="P96">
        <f t="shared" si="99"/>
        <v>0</v>
      </c>
      <c r="Q96">
        <f t="shared" si="100"/>
        <v>0</v>
      </c>
      <c r="R96">
        <f t="shared" si="101"/>
        <v>0</v>
      </c>
      <c r="S96">
        <f t="shared" si="102"/>
        <v>0</v>
      </c>
      <c r="T96">
        <f t="shared" si="103"/>
        <v>0</v>
      </c>
      <c r="U96">
        <f t="shared" si="104"/>
        <v>0</v>
      </c>
      <c r="V96">
        <f t="shared" si="105"/>
        <v>0</v>
      </c>
      <c r="W96">
        <f t="shared" si="106"/>
        <v>0</v>
      </c>
      <c r="X96">
        <f t="shared" si="107"/>
        <v>0</v>
      </c>
      <c r="Y96">
        <f t="shared" si="108"/>
        <v>0</v>
      </c>
      <c r="AA96">
        <v>39476960</v>
      </c>
      <c r="AB96">
        <f t="shared" si="109"/>
        <v>0</v>
      </c>
      <c r="AC96">
        <f t="shared" si="69"/>
        <v>0</v>
      </c>
      <c r="AD96">
        <f>ROUND((((ET96)-(EU96))+AE96),2)</f>
        <v>0</v>
      </c>
      <c r="AE96">
        <f t="shared" si="131"/>
        <v>0</v>
      </c>
      <c r="AF96">
        <f t="shared" si="131"/>
        <v>0</v>
      </c>
      <c r="AG96">
        <f t="shared" si="110"/>
        <v>0</v>
      </c>
      <c r="AH96">
        <f t="shared" si="132"/>
        <v>0</v>
      </c>
      <c r="AI96">
        <f t="shared" si="132"/>
        <v>0</v>
      </c>
      <c r="AJ96">
        <f t="shared" si="111"/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111</v>
      </c>
      <c r="AU96">
        <v>64</v>
      </c>
      <c r="AV96">
        <v>1</v>
      </c>
      <c r="AW96">
        <v>1</v>
      </c>
      <c r="AZ96">
        <v>6.13</v>
      </c>
      <c r="BA96">
        <v>1</v>
      </c>
      <c r="BB96">
        <v>1</v>
      </c>
      <c r="BC96">
        <v>6.13</v>
      </c>
      <c r="BD96" t="s">
        <v>3</v>
      </c>
      <c r="BE96" t="s">
        <v>3</v>
      </c>
      <c r="BF96" t="s">
        <v>3</v>
      </c>
      <c r="BG96" t="s">
        <v>3</v>
      </c>
      <c r="BH96">
        <v>3</v>
      </c>
      <c r="BI96">
        <v>1</v>
      </c>
      <c r="BJ96" t="s">
        <v>3</v>
      </c>
      <c r="BM96">
        <v>11001</v>
      </c>
      <c r="BN96">
        <v>0</v>
      </c>
      <c r="BO96" t="s">
        <v>3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123</v>
      </c>
      <c r="CA96">
        <v>75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112"/>
        <v>0</v>
      </c>
      <c r="CQ96">
        <f t="shared" si="113"/>
        <v>0</v>
      </c>
      <c r="CR96">
        <f t="shared" si="114"/>
        <v>0</v>
      </c>
      <c r="CS96">
        <f t="shared" si="115"/>
        <v>0</v>
      </c>
      <c r="CT96">
        <f t="shared" si="116"/>
        <v>0</v>
      </c>
      <c r="CU96">
        <f t="shared" si="117"/>
        <v>0</v>
      </c>
      <c r="CV96">
        <f t="shared" si="118"/>
        <v>0</v>
      </c>
      <c r="CW96">
        <f t="shared" si="119"/>
        <v>0</v>
      </c>
      <c r="CX96">
        <f t="shared" si="120"/>
        <v>0</v>
      </c>
      <c r="CY96">
        <f t="shared" si="121"/>
        <v>0</v>
      </c>
      <c r="CZ96">
        <f t="shared" si="122"/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217</v>
      </c>
      <c r="DW96" t="s">
        <v>217</v>
      </c>
      <c r="DX96">
        <v>1</v>
      </c>
      <c r="EE96">
        <v>39174504</v>
      </c>
      <c r="EF96">
        <v>2</v>
      </c>
      <c r="EG96" t="s">
        <v>13</v>
      </c>
      <c r="EH96">
        <v>0</v>
      </c>
      <c r="EI96" t="s">
        <v>3</v>
      </c>
      <c r="EJ96">
        <v>1</v>
      </c>
      <c r="EK96">
        <v>11001</v>
      </c>
      <c r="EL96" t="s">
        <v>136</v>
      </c>
      <c r="EM96" t="s">
        <v>137</v>
      </c>
      <c r="EO96" t="s">
        <v>3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23"/>
        <v>0</v>
      </c>
      <c r="FS96">
        <v>0</v>
      </c>
      <c r="FT96" t="s">
        <v>29</v>
      </c>
      <c r="FU96" t="s">
        <v>30</v>
      </c>
      <c r="FX96">
        <v>110.7</v>
      </c>
      <c r="FY96">
        <v>63.75</v>
      </c>
      <c r="GA96" t="s">
        <v>3</v>
      </c>
      <c r="GD96">
        <v>0</v>
      </c>
      <c r="GF96">
        <v>290394019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24"/>
        <v>0</v>
      </c>
      <c r="GM96">
        <f t="shared" si="125"/>
        <v>0</v>
      </c>
      <c r="GN96">
        <f t="shared" si="126"/>
        <v>0</v>
      </c>
      <c r="GO96">
        <f t="shared" si="127"/>
        <v>0</v>
      </c>
      <c r="GP96">
        <f t="shared" si="128"/>
        <v>0</v>
      </c>
      <c r="GR96">
        <v>0</v>
      </c>
      <c r="GS96">
        <v>3</v>
      </c>
      <c r="GT96">
        <v>0</v>
      </c>
      <c r="GU96" t="s">
        <v>3</v>
      </c>
      <c r="GV96">
        <f t="shared" si="129"/>
        <v>0</v>
      </c>
      <c r="GW96">
        <v>1</v>
      </c>
      <c r="GX96">
        <f t="shared" si="130"/>
        <v>0</v>
      </c>
      <c r="HA96">
        <v>0</v>
      </c>
      <c r="HB96">
        <v>0</v>
      </c>
      <c r="IK96">
        <v>0</v>
      </c>
    </row>
    <row r="97" spans="1:245" x14ac:dyDescent="0.2">
      <c r="A97">
        <v>17</v>
      </c>
      <c r="B97">
        <v>1</v>
      </c>
      <c r="C97">
        <f>ROW(SmtRes!A269)</f>
        <v>269</v>
      </c>
      <c r="D97">
        <f>ROW(EtalonRes!A255)</f>
        <v>255</v>
      </c>
      <c r="E97" t="s">
        <v>305</v>
      </c>
      <c r="F97" t="s">
        <v>306</v>
      </c>
      <c r="G97" t="s">
        <v>307</v>
      </c>
      <c r="H97" t="s">
        <v>34</v>
      </c>
      <c r="I97">
        <v>0.8</v>
      </c>
      <c r="J97">
        <v>0</v>
      </c>
      <c r="O97">
        <f t="shared" si="98"/>
        <v>5083.1000000000004</v>
      </c>
      <c r="P97">
        <f t="shared" si="99"/>
        <v>498.74</v>
      </c>
      <c r="Q97">
        <f t="shared" si="100"/>
        <v>2093.52</v>
      </c>
      <c r="R97">
        <f t="shared" si="101"/>
        <v>82.24</v>
      </c>
      <c r="S97">
        <f t="shared" si="102"/>
        <v>2490.84</v>
      </c>
      <c r="T97">
        <f t="shared" si="103"/>
        <v>0</v>
      </c>
      <c r="U97">
        <f t="shared" si="104"/>
        <v>42.239039999999996</v>
      </c>
      <c r="V97">
        <f t="shared" si="105"/>
        <v>1.0680000000000001</v>
      </c>
      <c r="W97">
        <f t="shared" si="106"/>
        <v>0</v>
      </c>
      <c r="X97">
        <f t="shared" si="107"/>
        <v>2084.19</v>
      </c>
      <c r="Y97">
        <f t="shared" si="108"/>
        <v>1852.62</v>
      </c>
      <c r="AA97">
        <v>39476960</v>
      </c>
      <c r="AB97">
        <f t="shared" si="109"/>
        <v>1036.52</v>
      </c>
      <c r="AC97">
        <f t="shared" si="69"/>
        <v>101.7</v>
      </c>
      <c r="AD97">
        <f>ROUND((((((ET97*1.25)*1.2))-(((EU97*1.25)*1.2)))+AE97),2)</f>
        <v>426.9</v>
      </c>
      <c r="AE97">
        <f>ROUND((((EU97*1.25)*1.2)),2)</f>
        <v>16.77</v>
      </c>
      <c r="AF97">
        <f>ROUND((((EV97*1.15)*1.2)),2)</f>
        <v>507.92</v>
      </c>
      <c r="AG97">
        <f t="shared" si="110"/>
        <v>0</v>
      </c>
      <c r="AH97">
        <f>(((EW97*1.15)*1.2))</f>
        <v>52.798799999999993</v>
      </c>
      <c r="AI97">
        <f>(((EX97*1.25)*1.2))</f>
        <v>1.335</v>
      </c>
      <c r="AJ97">
        <f t="shared" si="111"/>
        <v>0</v>
      </c>
      <c r="AK97">
        <v>754.36</v>
      </c>
      <c r="AL97">
        <v>101.7</v>
      </c>
      <c r="AM97">
        <v>284.60000000000002</v>
      </c>
      <c r="AN97">
        <v>11.18</v>
      </c>
      <c r="AO97">
        <v>368.06</v>
      </c>
      <c r="AP97">
        <v>0</v>
      </c>
      <c r="AQ97">
        <v>38.26</v>
      </c>
      <c r="AR97">
        <v>0.89</v>
      </c>
      <c r="AS97">
        <v>0</v>
      </c>
      <c r="AT97">
        <v>81</v>
      </c>
      <c r="AU97">
        <v>72</v>
      </c>
      <c r="AV97">
        <v>1</v>
      </c>
      <c r="AW97">
        <v>1</v>
      </c>
      <c r="AZ97">
        <v>6.13</v>
      </c>
      <c r="BA97">
        <v>6.13</v>
      </c>
      <c r="BB97">
        <v>6.13</v>
      </c>
      <c r="BC97">
        <v>6.13</v>
      </c>
      <c r="BD97" t="s">
        <v>3</v>
      </c>
      <c r="BE97" t="s">
        <v>3</v>
      </c>
      <c r="BF97" t="s">
        <v>3</v>
      </c>
      <c r="BG97" t="s">
        <v>3</v>
      </c>
      <c r="BH97">
        <v>0</v>
      </c>
      <c r="BI97">
        <v>1</v>
      </c>
      <c r="BJ97" t="s">
        <v>308</v>
      </c>
      <c r="BM97">
        <v>9001</v>
      </c>
      <c r="BN97">
        <v>0</v>
      </c>
      <c r="BO97" t="s">
        <v>3</v>
      </c>
      <c r="BP97">
        <v>0</v>
      </c>
      <c r="BQ97">
        <v>2</v>
      </c>
      <c r="BR97">
        <v>0</v>
      </c>
      <c r="BS97">
        <v>6.13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90</v>
      </c>
      <c r="CA97">
        <v>85</v>
      </c>
      <c r="CF97">
        <v>0</v>
      </c>
      <c r="CG97">
        <v>0</v>
      </c>
      <c r="CM97">
        <v>0</v>
      </c>
      <c r="CN97" t="s">
        <v>1274</v>
      </c>
      <c r="CO97">
        <v>0</v>
      </c>
      <c r="CP97">
        <f t="shared" si="112"/>
        <v>5083.1000000000004</v>
      </c>
      <c r="CQ97">
        <f t="shared" si="113"/>
        <v>623.42100000000005</v>
      </c>
      <c r="CR97">
        <f t="shared" si="114"/>
        <v>2616.8969999999999</v>
      </c>
      <c r="CS97">
        <f t="shared" si="115"/>
        <v>102.8001</v>
      </c>
      <c r="CT97">
        <f t="shared" si="116"/>
        <v>3113.5495999999998</v>
      </c>
      <c r="CU97">
        <f t="shared" si="117"/>
        <v>0</v>
      </c>
      <c r="CV97">
        <f t="shared" si="118"/>
        <v>52.798799999999993</v>
      </c>
      <c r="CW97">
        <f t="shared" si="119"/>
        <v>1.335</v>
      </c>
      <c r="CX97">
        <f t="shared" si="120"/>
        <v>0</v>
      </c>
      <c r="CY97">
        <f t="shared" si="121"/>
        <v>2084.1947999999998</v>
      </c>
      <c r="CZ97">
        <f t="shared" si="122"/>
        <v>1852.6176</v>
      </c>
      <c r="DC97" t="s">
        <v>3</v>
      </c>
      <c r="DD97" t="s">
        <v>3</v>
      </c>
      <c r="DE97" t="s">
        <v>53</v>
      </c>
      <c r="DF97" t="s">
        <v>53</v>
      </c>
      <c r="DG97" t="s">
        <v>54</v>
      </c>
      <c r="DH97" t="s">
        <v>3</v>
      </c>
      <c r="DI97" t="s">
        <v>54</v>
      </c>
      <c r="DJ97" t="s">
        <v>53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34</v>
      </c>
      <c r="DW97" t="s">
        <v>34</v>
      </c>
      <c r="DX97">
        <v>1000</v>
      </c>
      <c r="EE97">
        <v>39174502</v>
      </c>
      <c r="EF97">
        <v>2</v>
      </c>
      <c r="EG97" t="s">
        <v>13</v>
      </c>
      <c r="EH97">
        <v>0</v>
      </c>
      <c r="EI97" t="s">
        <v>3</v>
      </c>
      <c r="EJ97">
        <v>1</v>
      </c>
      <c r="EK97">
        <v>9001</v>
      </c>
      <c r="EL97" t="s">
        <v>38</v>
      </c>
      <c r="EM97" t="s">
        <v>39</v>
      </c>
      <c r="EO97" t="s">
        <v>89</v>
      </c>
      <c r="EQ97">
        <v>0</v>
      </c>
      <c r="ER97">
        <v>754.36</v>
      </c>
      <c r="ES97">
        <v>101.7</v>
      </c>
      <c r="ET97">
        <v>284.60000000000002</v>
      </c>
      <c r="EU97">
        <v>11.18</v>
      </c>
      <c r="EV97">
        <v>368.06</v>
      </c>
      <c r="EW97">
        <v>38.26</v>
      </c>
      <c r="EX97">
        <v>0.89</v>
      </c>
      <c r="EY97">
        <v>0</v>
      </c>
      <c r="FQ97">
        <v>0</v>
      </c>
      <c r="FR97">
        <f t="shared" si="123"/>
        <v>0</v>
      </c>
      <c r="FS97">
        <v>0</v>
      </c>
      <c r="FT97" t="s">
        <v>29</v>
      </c>
      <c r="FU97" t="s">
        <v>30</v>
      </c>
      <c r="FX97">
        <v>81</v>
      </c>
      <c r="FY97">
        <v>72.25</v>
      </c>
      <c r="GA97" t="s">
        <v>3</v>
      </c>
      <c r="GD97">
        <v>0</v>
      </c>
      <c r="GF97">
        <v>-605593751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24"/>
        <v>0</v>
      </c>
      <c r="GM97">
        <f t="shared" si="125"/>
        <v>9019.91</v>
      </c>
      <c r="GN97">
        <f t="shared" si="126"/>
        <v>9019.91</v>
      </c>
      <c r="GO97">
        <f t="shared" si="127"/>
        <v>0</v>
      </c>
      <c r="GP97">
        <f t="shared" si="128"/>
        <v>0</v>
      </c>
      <c r="GR97">
        <v>0</v>
      </c>
      <c r="GS97">
        <v>3</v>
      </c>
      <c r="GT97">
        <v>0</v>
      </c>
      <c r="GU97" t="s">
        <v>3</v>
      </c>
      <c r="GV97">
        <f t="shared" si="129"/>
        <v>0</v>
      </c>
      <c r="GW97">
        <v>1</v>
      </c>
      <c r="GX97">
        <f t="shared" si="130"/>
        <v>0</v>
      </c>
      <c r="HA97">
        <v>0</v>
      </c>
      <c r="HB97">
        <v>0</v>
      </c>
      <c r="IK97">
        <v>0</v>
      </c>
    </row>
    <row r="98" spans="1:245" x14ac:dyDescent="0.2">
      <c r="A98">
        <v>18</v>
      </c>
      <c r="B98">
        <v>1</v>
      </c>
      <c r="C98">
        <v>263</v>
      </c>
      <c r="E98" t="s">
        <v>309</v>
      </c>
      <c r="F98" t="s">
        <v>310</v>
      </c>
      <c r="G98" t="s">
        <v>311</v>
      </c>
      <c r="H98" t="s">
        <v>34</v>
      </c>
      <c r="I98">
        <f>I97*J98</f>
        <v>0.8</v>
      </c>
      <c r="J98">
        <v>1</v>
      </c>
      <c r="O98">
        <f t="shared" si="98"/>
        <v>37128.18</v>
      </c>
      <c r="P98">
        <f t="shared" si="99"/>
        <v>37128.18</v>
      </c>
      <c r="Q98">
        <f t="shared" si="100"/>
        <v>0</v>
      </c>
      <c r="R98">
        <f t="shared" si="101"/>
        <v>0</v>
      </c>
      <c r="S98">
        <f t="shared" si="102"/>
        <v>0</v>
      </c>
      <c r="T98">
        <f t="shared" si="103"/>
        <v>0</v>
      </c>
      <c r="U98">
        <f t="shared" si="104"/>
        <v>0</v>
      </c>
      <c r="V98">
        <f t="shared" si="105"/>
        <v>0</v>
      </c>
      <c r="W98">
        <f t="shared" si="106"/>
        <v>0</v>
      </c>
      <c r="X98">
        <f t="shared" si="107"/>
        <v>0</v>
      </c>
      <c r="Y98">
        <f t="shared" si="108"/>
        <v>0</v>
      </c>
      <c r="AA98">
        <v>39476960</v>
      </c>
      <c r="AB98">
        <f t="shared" si="109"/>
        <v>7571</v>
      </c>
      <c r="AC98">
        <f t="shared" si="69"/>
        <v>7571</v>
      </c>
      <c r="AD98">
        <f>ROUND((((ET98)-(EU98))+AE98),2)</f>
        <v>0</v>
      </c>
      <c r="AE98">
        <f>ROUND((EU98),2)</f>
        <v>0</v>
      </c>
      <c r="AF98">
        <f>ROUND((EV98),2)</f>
        <v>0</v>
      </c>
      <c r="AG98">
        <f t="shared" si="110"/>
        <v>0</v>
      </c>
      <c r="AH98">
        <f>(EW98)</f>
        <v>0</v>
      </c>
      <c r="AI98">
        <f>(EX98)</f>
        <v>0</v>
      </c>
      <c r="AJ98">
        <f t="shared" si="111"/>
        <v>0</v>
      </c>
      <c r="AK98">
        <v>7571</v>
      </c>
      <c r="AL98">
        <v>7571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81</v>
      </c>
      <c r="AU98">
        <v>72</v>
      </c>
      <c r="AV98">
        <v>1</v>
      </c>
      <c r="AW98">
        <v>1</v>
      </c>
      <c r="AZ98">
        <v>6.13</v>
      </c>
      <c r="BA98">
        <v>1</v>
      </c>
      <c r="BB98">
        <v>1</v>
      </c>
      <c r="BC98">
        <v>6.13</v>
      </c>
      <c r="BD98" t="s">
        <v>3</v>
      </c>
      <c r="BE98" t="s">
        <v>3</v>
      </c>
      <c r="BF98" t="s">
        <v>3</v>
      </c>
      <c r="BG98" t="s">
        <v>3</v>
      </c>
      <c r="BH98">
        <v>3</v>
      </c>
      <c r="BI98">
        <v>1</v>
      </c>
      <c r="BJ98" t="s">
        <v>312</v>
      </c>
      <c r="BM98">
        <v>9001</v>
      </c>
      <c r="BN98">
        <v>0</v>
      </c>
      <c r="BO98" t="s">
        <v>3</v>
      </c>
      <c r="BP98">
        <v>0</v>
      </c>
      <c r="BQ98">
        <v>2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90</v>
      </c>
      <c r="CA98">
        <v>85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112"/>
        <v>37128.18</v>
      </c>
      <c r="CQ98">
        <f t="shared" si="113"/>
        <v>46410.229999999996</v>
      </c>
      <c r="CR98">
        <f t="shared" si="114"/>
        <v>0</v>
      </c>
      <c r="CS98">
        <f t="shared" si="115"/>
        <v>0</v>
      </c>
      <c r="CT98">
        <f t="shared" si="116"/>
        <v>0</v>
      </c>
      <c r="CU98">
        <f t="shared" si="117"/>
        <v>0</v>
      </c>
      <c r="CV98">
        <f t="shared" si="118"/>
        <v>0</v>
      </c>
      <c r="CW98">
        <f t="shared" si="119"/>
        <v>0</v>
      </c>
      <c r="CX98">
        <f t="shared" si="120"/>
        <v>0</v>
      </c>
      <c r="CY98">
        <f t="shared" si="121"/>
        <v>0</v>
      </c>
      <c r="CZ98">
        <f t="shared" si="122"/>
        <v>0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1009</v>
      </c>
      <c r="DV98" t="s">
        <v>34</v>
      </c>
      <c r="DW98" t="s">
        <v>34</v>
      </c>
      <c r="DX98">
        <v>1000</v>
      </c>
      <c r="EE98">
        <v>39174502</v>
      </c>
      <c r="EF98">
        <v>2</v>
      </c>
      <c r="EG98" t="s">
        <v>13</v>
      </c>
      <c r="EH98">
        <v>0</v>
      </c>
      <c r="EI98" t="s">
        <v>3</v>
      </c>
      <c r="EJ98">
        <v>1</v>
      </c>
      <c r="EK98">
        <v>9001</v>
      </c>
      <c r="EL98" t="s">
        <v>38</v>
      </c>
      <c r="EM98" t="s">
        <v>39</v>
      </c>
      <c r="EO98" t="s">
        <v>3</v>
      </c>
      <c r="EQ98">
        <v>0</v>
      </c>
      <c r="ER98">
        <v>7571</v>
      </c>
      <c r="ES98">
        <v>7571</v>
      </c>
      <c r="ET98">
        <v>0</v>
      </c>
      <c r="EU98">
        <v>0</v>
      </c>
      <c r="EV98">
        <v>0</v>
      </c>
      <c r="EW98">
        <v>0</v>
      </c>
      <c r="EX98">
        <v>0</v>
      </c>
      <c r="FQ98">
        <v>0</v>
      </c>
      <c r="FR98">
        <f t="shared" si="123"/>
        <v>0</v>
      </c>
      <c r="FS98">
        <v>0</v>
      </c>
      <c r="FT98" t="s">
        <v>29</v>
      </c>
      <c r="FU98" t="s">
        <v>30</v>
      </c>
      <c r="FX98">
        <v>81</v>
      </c>
      <c r="FY98">
        <v>72.25</v>
      </c>
      <c r="GA98" t="s">
        <v>3</v>
      </c>
      <c r="GD98">
        <v>0</v>
      </c>
      <c r="GF98">
        <v>918967682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24"/>
        <v>0</v>
      </c>
      <c r="GM98">
        <f t="shared" si="125"/>
        <v>37128.18</v>
      </c>
      <c r="GN98">
        <f t="shared" si="126"/>
        <v>37128.18</v>
      </c>
      <c r="GO98">
        <f t="shared" si="127"/>
        <v>0</v>
      </c>
      <c r="GP98">
        <f t="shared" si="128"/>
        <v>0</v>
      </c>
      <c r="GR98">
        <v>0</v>
      </c>
      <c r="GS98">
        <v>3</v>
      </c>
      <c r="GT98">
        <v>0</v>
      </c>
      <c r="GU98" t="s">
        <v>3</v>
      </c>
      <c r="GV98">
        <f t="shared" si="129"/>
        <v>0</v>
      </c>
      <c r="GW98">
        <v>1</v>
      </c>
      <c r="GX98">
        <f t="shared" si="130"/>
        <v>0</v>
      </c>
      <c r="HA98">
        <v>0</v>
      </c>
      <c r="HB98">
        <v>0</v>
      </c>
      <c r="IK98">
        <v>0</v>
      </c>
    </row>
    <row r="100" spans="1:245" x14ac:dyDescent="0.2">
      <c r="A100" s="2">
        <v>51</v>
      </c>
      <c r="B100" s="2">
        <f>B24</f>
        <v>1</v>
      </c>
      <c r="C100" s="2">
        <f>A24</f>
        <v>4</v>
      </c>
      <c r="D100" s="2">
        <f>ROW(A24)</f>
        <v>24</v>
      </c>
      <c r="E100" s="2"/>
      <c r="F100" s="2" t="str">
        <f>IF(F24&lt;&gt;"",F24,"")</f>
        <v>Новый раздел</v>
      </c>
      <c r="G100" s="2" t="str">
        <f>IF(G24&lt;&gt;"",G24,"")</f>
        <v>Общестроительные работы</v>
      </c>
      <c r="H100" s="2">
        <v>0</v>
      </c>
      <c r="I100" s="2"/>
      <c r="J100" s="2"/>
      <c r="K100" s="2"/>
      <c r="L100" s="2"/>
      <c r="M100" s="2"/>
      <c r="N100" s="2"/>
      <c r="O100" s="2">
        <f t="shared" ref="O100:T100" si="133">ROUND(AB100,2)</f>
        <v>672664.96</v>
      </c>
      <c r="P100" s="2">
        <f t="shared" si="133"/>
        <v>599289.07999999996</v>
      </c>
      <c r="Q100" s="2">
        <f t="shared" si="133"/>
        <v>12173.78</v>
      </c>
      <c r="R100" s="2">
        <f t="shared" si="133"/>
        <v>1359.19</v>
      </c>
      <c r="S100" s="2">
        <f t="shared" si="133"/>
        <v>61202.1</v>
      </c>
      <c r="T100" s="2">
        <f t="shared" si="133"/>
        <v>0</v>
      </c>
      <c r="U100" s="2">
        <f>AH100</f>
        <v>1106.6487977999998</v>
      </c>
      <c r="V100" s="2">
        <f>AI100</f>
        <v>17.725808000000001</v>
      </c>
      <c r="W100" s="2">
        <f>ROUND(AJ100,2)</f>
        <v>0</v>
      </c>
      <c r="X100" s="2">
        <f>ROUND(AK100,2)</f>
        <v>62171.03</v>
      </c>
      <c r="Y100" s="2">
        <f>ROUND(AL100,2)</f>
        <v>33801.18</v>
      </c>
      <c r="Z100" s="2"/>
      <c r="AA100" s="2"/>
      <c r="AB100" s="2">
        <f>ROUND(SUMIF(AA28:AA98,"=39476960",O28:O98),2)</f>
        <v>672664.96</v>
      </c>
      <c r="AC100" s="2">
        <f>ROUND(SUMIF(AA28:AA98,"=39476960",P28:P98),2)</f>
        <v>599289.07999999996</v>
      </c>
      <c r="AD100" s="2">
        <f>ROUND(SUMIF(AA28:AA98,"=39476960",Q28:Q98),2)</f>
        <v>12173.78</v>
      </c>
      <c r="AE100" s="2">
        <f>ROUND(SUMIF(AA28:AA98,"=39476960",R28:R98),2)</f>
        <v>1359.19</v>
      </c>
      <c r="AF100" s="2">
        <f>ROUND(SUMIF(AA28:AA98,"=39476960",S28:S98),2)</f>
        <v>61202.1</v>
      </c>
      <c r="AG100" s="2">
        <f>ROUND(SUMIF(AA28:AA98,"=39476960",T28:T98),2)</f>
        <v>0</v>
      </c>
      <c r="AH100" s="2">
        <f>SUMIF(AA28:AA98,"=39476960",U28:U98)</f>
        <v>1106.6487977999998</v>
      </c>
      <c r="AI100" s="2">
        <f>SUMIF(AA28:AA98,"=39476960",V28:V98)</f>
        <v>17.725808000000001</v>
      </c>
      <c r="AJ100" s="2">
        <f>ROUND(SUMIF(AA28:AA98,"=39476960",W28:W98),2)</f>
        <v>0</v>
      </c>
      <c r="AK100" s="2">
        <f>ROUND(SUMIF(AA28:AA98,"=39476960",X28:X98),2)</f>
        <v>62171.03</v>
      </c>
      <c r="AL100" s="2">
        <f>ROUND(SUMIF(AA28:AA98,"=39476960",Y28:Y98),2)</f>
        <v>33801.18</v>
      </c>
      <c r="AM100" s="2"/>
      <c r="AN100" s="2"/>
      <c r="AO100" s="2">
        <f t="shared" ref="AO100:BC100" si="134">ROUND(BX100,2)</f>
        <v>0</v>
      </c>
      <c r="AP100" s="2">
        <f t="shared" si="134"/>
        <v>0</v>
      </c>
      <c r="AQ100" s="2">
        <f t="shared" si="134"/>
        <v>0</v>
      </c>
      <c r="AR100" s="2">
        <f t="shared" si="134"/>
        <v>768637.17</v>
      </c>
      <c r="AS100" s="2">
        <f t="shared" si="134"/>
        <v>768637.17</v>
      </c>
      <c r="AT100" s="2">
        <f t="shared" si="134"/>
        <v>0</v>
      </c>
      <c r="AU100" s="2">
        <f t="shared" si="134"/>
        <v>0</v>
      </c>
      <c r="AV100" s="2">
        <f t="shared" si="134"/>
        <v>599289.07999999996</v>
      </c>
      <c r="AW100" s="2">
        <f t="shared" si="134"/>
        <v>599289.07999999996</v>
      </c>
      <c r="AX100" s="2">
        <f t="shared" si="134"/>
        <v>0</v>
      </c>
      <c r="AY100" s="2">
        <f t="shared" si="134"/>
        <v>599289.07999999996</v>
      </c>
      <c r="AZ100" s="2">
        <f t="shared" si="134"/>
        <v>0</v>
      </c>
      <c r="BA100" s="2">
        <f t="shared" si="134"/>
        <v>0</v>
      </c>
      <c r="BB100" s="2">
        <f t="shared" si="134"/>
        <v>0</v>
      </c>
      <c r="BC100" s="2">
        <f t="shared" si="134"/>
        <v>0</v>
      </c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>
        <f>ROUND(SUMIF(AA28:AA98,"=39476960",FQ28:FQ98),2)</f>
        <v>0</v>
      </c>
      <c r="BY100" s="2">
        <f>ROUND(SUMIF(AA28:AA98,"=39476960",FR28:FR98),2)</f>
        <v>0</v>
      </c>
      <c r="BZ100" s="2">
        <f>ROUND(SUMIF(AA28:AA98,"=39476960",GL28:GL98),2)</f>
        <v>0</v>
      </c>
      <c r="CA100" s="2">
        <f>ROUND(SUMIF(AA28:AA98,"=39476960",GM28:GM98),2)</f>
        <v>768637.17</v>
      </c>
      <c r="CB100" s="2">
        <f>ROUND(SUMIF(AA28:AA98,"=39476960",GN28:GN98),2)</f>
        <v>768637.17</v>
      </c>
      <c r="CC100" s="2">
        <f>ROUND(SUMIF(AA28:AA98,"=39476960",GO28:GO98),2)</f>
        <v>0</v>
      </c>
      <c r="CD100" s="2">
        <f>ROUND(SUMIF(AA28:AA98,"=39476960",GP28:GP98),2)</f>
        <v>0</v>
      </c>
      <c r="CE100" s="2">
        <f>AC100-BX100</f>
        <v>599289.07999999996</v>
      </c>
      <c r="CF100" s="2">
        <f>AC100-BY100</f>
        <v>599289.07999999996</v>
      </c>
      <c r="CG100" s="2">
        <f>BX100-BZ100</f>
        <v>0</v>
      </c>
      <c r="CH100" s="2">
        <f>AC100-BX100-BY100+BZ100</f>
        <v>599289.07999999996</v>
      </c>
      <c r="CI100" s="2">
        <f>BY100-BZ100</f>
        <v>0</v>
      </c>
      <c r="CJ100" s="2">
        <f>ROUND(SUMIF(AA28:AA98,"=39476960",GX28:GX98),2)</f>
        <v>0</v>
      </c>
      <c r="CK100" s="2">
        <f>ROUND(SUMIF(AA28:AA98,"=39476960",GY28:GY98),2)</f>
        <v>0</v>
      </c>
      <c r="CL100" s="2">
        <f>ROUND(SUMIF(AA28:AA98,"=39476960",GZ28:GZ98),2)</f>
        <v>0</v>
      </c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>
        <v>0</v>
      </c>
    </row>
    <row r="102" spans="1:245" x14ac:dyDescent="0.2">
      <c r="A102" s="4">
        <v>50</v>
      </c>
      <c r="B102" s="4">
        <v>0</v>
      </c>
      <c r="C102" s="4">
        <v>0</v>
      </c>
      <c r="D102" s="4">
        <v>1</v>
      </c>
      <c r="E102" s="4">
        <v>201</v>
      </c>
      <c r="F102" s="4">
        <f>ROUND(Source!O100,O102)</f>
        <v>672664.96</v>
      </c>
      <c r="G102" s="4" t="s">
        <v>313</v>
      </c>
      <c r="H102" s="4" t="s">
        <v>314</v>
      </c>
      <c r="I102" s="4"/>
      <c r="J102" s="4"/>
      <c r="K102" s="4">
        <v>201</v>
      </c>
      <c r="L102" s="4">
        <v>1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45" x14ac:dyDescent="0.2">
      <c r="A103" s="4">
        <v>50</v>
      </c>
      <c r="B103" s="4">
        <v>0</v>
      </c>
      <c r="C103" s="4">
        <v>0</v>
      </c>
      <c r="D103" s="4">
        <v>1</v>
      </c>
      <c r="E103" s="4">
        <v>202</v>
      </c>
      <c r="F103" s="4">
        <f>ROUND(Source!P100,O103)</f>
        <v>599289.07999999996</v>
      </c>
      <c r="G103" s="4" t="s">
        <v>315</v>
      </c>
      <c r="H103" s="4" t="s">
        <v>316</v>
      </c>
      <c r="I103" s="4"/>
      <c r="J103" s="4"/>
      <c r="K103" s="4">
        <v>202</v>
      </c>
      <c r="L103" s="4">
        <v>2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45" x14ac:dyDescent="0.2">
      <c r="A104" s="4">
        <v>50</v>
      </c>
      <c r="B104" s="4">
        <v>0</v>
      </c>
      <c r="C104" s="4">
        <v>0</v>
      </c>
      <c r="D104" s="4">
        <v>1</v>
      </c>
      <c r="E104" s="4">
        <v>222</v>
      </c>
      <c r="F104" s="4">
        <f>ROUND(Source!AO100,O104)</f>
        <v>0</v>
      </c>
      <c r="G104" s="4" t="s">
        <v>317</v>
      </c>
      <c r="H104" s="4" t="s">
        <v>318</v>
      </c>
      <c r="I104" s="4"/>
      <c r="J104" s="4"/>
      <c r="K104" s="4">
        <v>222</v>
      </c>
      <c r="L104" s="4">
        <v>3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45" x14ac:dyDescent="0.2">
      <c r="A105" s="4">
        <v>50</v>
      </c>
      <c r="B105" s="4">
        <v>0</v>
      </c>
      <c r="C105" s="4">
        <v>0</v>
      </c>
      <c r="D105" s="4">
        <v>1</v>
      </c>
      <c r="E105" s="4">
        <v>225</v>
      </c>
      <c r="F105" s="4">
        <f>ROUND(Source!AV100,O105)</f>
        <v>599289.07999999996</v>
      </c>
      <c r="G105" s="4" t="s">
        <v>319</v>
      </c>
      <c r="H105" s="4" t="s">
        <v>320</v>
      </c>
      <c r="I105" s="4"/>
      <c r="J105" s="4"/>
      <c r="K105" s="4">
        <v>225</v>
      </c>
      <c r="L105" s="4">
        <v>4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45" x14ac:dyDescent="0.2">
      <c r="A106" s="4">
        <v>50</v>
      </c>
      <c r="B106" s="4">
        <v>0</v>
      </c>
      <c r="C106" s="4">
        <v>0</v>
      </c>
      <c r="D106" s="4">
        <v>1</v>
      </c>
      <c r="E106" s="4">
        <v>226</v>
      </c>
      <c r="F106" s="4">
        <f>ROUND(Source!AW100,O106)</f>
        <v>599289.07999999996</v>
      </c>
      <c r="G106" s="4" t="s">
        <v>321</v>
      </c>
      <c r="H106" s="4" t="s">
        <v>322</v>
      </c>
      <c r="I106" s="4"/>
      <c r="J106" s="4"/>
      <c r="K106" s="4">
        <v>226</v>
      </c>
      <c r="L106" s="4">
        <v>5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45" x14ac:dyDescent="0.2">
      <c r="A107" s="4">
        <v>50</v>
      </c>
      <c r="B107" s="4">
        <v>0</v>
      </c>
      <c r="C107" s="4">
        <v>0</v>
      </c>
      <c r="D107" s="4">
        <v>1</v>
      </c>
      <c r="E107" s="4">
        <v>227</v>
      </c>
      <c r="F107" s="4">
        <f>ROUND(Source!AX100,O107)</f>
        <v>0</v>
      </c>
      <c r="G107" s="4" t="s">
        <v>323</v>
      </c>
      <c r="H107" s="4" t="s">
        <v>324</v>
      </c>
      <c r="I107" s="4"/>
      <c r="J107" s="4"/>
      <c r="K107" s="4">
        <v>227</v>
      </c>
      <c r="L107" s="4">
        <v>6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45" x14ac:dyDescent="0.2">
      <c r="A108" s="4">
        <v>50</v>
      </c>
      <c r="B108" s="4">
        <v>0</v>
      </c>
      <c r="C108" s="4">
        <v>0</v>
      </c>
      <c r="D108" s="4">
        <v>1</v>
      </c>
      <c r="E108" s="4">
        <v>228</v>
      </c>
      <c r="F108" s="4">
        <f>ROUND(Source!AY100,O108)</f>
        <v>599289.07999999996</v>
      </c>
      <c r="G108" s="4" t="s">
        <v>325</v>
      </c>
      <c r="H108" s="4" t="s">
        <v>326</v>
      </c>
      <c r="I108" s="4"/>
      <c r="J108" s="4"/>
      <c r="K108" s="4">
        <v>228</v>
      </c>
      <c r="L108" s="4">
        <v>7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45" x14ac:dyDescent="0.2">
      <c r="A109" s="4">
        <v>50</v>
      </c>
      <c r="B109" s="4">
        <v>0</v>
      </c>
      <c r="C109" s="4">
        <v>0</v>
      </c>
      <c r="D109" s="4">
        <v>1</v>
      </c>
      <c r="E109" s="4">
        <v>216</v>
      </c>
      <c r="F109" s="4">
        <f>ROUND(Source!AP100,O109)</f>
        <v>0</v>
      </c>
      <c r="G109" s="4" t="s">
        <v>327</v>
      </c>
      <c r="H109" s="4" t="s">
        <v>328</v>
      </c>
      <c r="I109" s="4"/>
      <c r="J109" s="4"/>
      <c r="K109" s="4">
        <v>216</v>
      </c>
      <c r="L109" s="4">
        <v>8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45" x14ac:dyDescent="0.2">
      <c r="A110" s="4">
        <v>50</v>
      </c>
      <c r="B110" s="4">
        <v>0</v>
      </c>
      <c r="C110" s="4">
        <v>0</v>
      </c>
      <c r="D110" s="4">
        <v>1</v>
      </c>
      <c r="E110" s="4">
        <v>223</v>
      </c>
      <c r="F110" s="4">
        <f>ROUND(Source!AQ100,O110)</f>
        <v>0</v>
      </c>
      <c r="G110" s="4" t="s">
        <v>329</v>
      </c>
      <c r="H110" s="4" t="s">
        <v>330</v>
      </c>
      <c r="I110" s="4"/>
      <c r="J110" s="4"/>
      <c r="K110" s="4">
        <v>223</v>
      </c>
      <c r="L110" s="4">
        <v>9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45" x14ac:dyDescent="0.2">
      <c r="A111" s="4">
        <v>50</v>
      </c>
      <c r="B111" s="4">
        <v>0</v>
      </c>
      <c r="C111" s="4">
        <v>0</v>
      </c>
      <c r="D111" s="4">
        <v>1</v>
      </c>
      <c r="E111" s="4">
        <v>229</v>
      </c>
      <c r="F111" s="4">
        <f>ROUND(Source!AZ100,O111)</f>
        <v>0</v>
      </c>
      <c r="G111" s="4" t="s">
        <v>331</v>
      </c>
      <c r="H111" s="4" t="s">
        <v>332</v>
      </c>
      <c r="I111" s="4"/>
      <c r="J111" s="4"/>
      <c r="K111" s="4">
        <v>229</v>
      </c>
      <c r="L111" s="4">
        <v>10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45" x14ac:dyDescent="0.2">
      <c r="A112" s="4">
        <v>50</v>
      </c>
      <c r="B112" s="4">
        <v>0</v>
      </c>
      <c r="C112" s="4">
        <v>0</v>
      </c>
      <c r="D112" s="4">
        <v>1</v>
      </c>
      <c r="E112" s="4">
        <v>203</v>
      </c>
      <c r="F112" s="4">
        <f>ROUND(Source!Q100,O112)</f>
        <v>12173.78</v>
      </c>
      <c r="G112" s="4" t="s">
        <v>333</v>
      </c>
      <c r="H112" s="4" t="s">
        <v>334</v>
      </c>
      <c r="I112" s="4"/>
      <c r="J112" s="4"/>
      <c r="K112" s="4">
        <v>203</v>
      </c>
      <c r="L112" s="4">
        <v>11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231</v>
      </c>
      <c r="F113" s="4">
        <f>ROUND(Source!BB100,O113)</f>
        <v>0</v>
      </c>
      <c r="G113" s="4" t="s">
        <v>335</v>
      </c>
      <c r="H113" s="4" t="s">
        <v>336</v>
      </c>
      <c r="I113" s="4"/>
      <c r="J113" s="4"/>
      <c r="K113" s="4">
        <v>231</v>
      </c>
      <c r="L113" s="4">
        <v>12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204</v>
      </c>
      <c r="F114" s="4">
        <f>ROUND(Source!R100,O114)</f>
        <v>1359.19</v>
      </c>
      <c r="G114" s="4" t="s">
        <v>337</v>
      </c>
      <c r="H114" s="4" t="s">
        <v>338</v>
      </c>
      <c r="I114" s="4"/>
      <c r="J114" s="4"/>
      <c r="K114" s="4">
        <v>204</v>
      </c>
      <c r="L114" s="4">
        <v>13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205</v>
      </c>
      <c r="F115" s="4">
        <f>ROUND(Source!S100,O115)</f>
        <v>61202.1</v>
      </c>
      <c r="G115" s="4" t="s">
        <v>339</v>
      </c>
      <c r="H115" s="4" t="s">
        <v>340</v>
      </c>
      <c r="I115" s="4"/>
      <c r="J115" s="4"/>
      <c r="K115" s="4">
        <v>205</v>
      </c>
      <c r="L115" s="4">
        <v>14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232</v>
      </c>
      <c r="F116" s="4">
        <f>ROUND(Source!BC100,O116)</f>
        <v>0</v>
      </c>
      <c r="G116" s="4" t="s">
        <v>341</v>
      </c>
      <c r="H116" s="4" t="s">
        <v>342</v>
      </c>
      <c r="I116" s="4"/>
      <c r="J116" s="4"/>
      <c r="K116" s="4">
        <v>232</v>
      </c>
      <c r="L116" s="4">
        <v>15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214</v>
      </c>
      <c r="F117" s="4">
        <f>ROUND(Source!AS100,O117)</f>
        <v>768637.17</v>
      </c>
      <c r="G117" s="4" t="s">
        <v>343</v>
      </c>
      <c r="H117" s="4" t="s">
        <v>344</v>
      </c>
      <c r="I117" s="4"/>
      <c r="J117" s="4"/>
      <c r="K117" s="4">
        <v>214</v>
      </c>
      <c r="L117" s="4">
        <v>16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215</v>
      </c>
      <c r="F118" s="4">
        <f>ROUND(Source!AT100,O118)</f>
        <v>0</v>
      </c>
      <c r="G118" s="4" t="s">
        <v>345</v>
      </c>
      <c r="H118" s="4" t="s">
        <v>346</v>
      </c>
      <c r="I118" s="4"/>
      <c r="J118" s="4"/>
      <c r="K118" s="4">
        <v>215</v>
      </c>
      <c r="L118" s="4">
        <v>17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217</v>
      </c>
      <c r="F119" s="4">
        <f>ROUND(Source!AU100,O119)</f>
        <v>0</v>
      </c>
      <c r="G119" s="4" t="s">
        <v>347</v>
      </c>
      <c r="H119" s="4" t="s">
        <v>348</v>
      </c>
      <c r="I119" s="4"/>
      <c r="J119" s="4"/>
      <c r="K119" s="4">
        <v>217</v>
      </c>
      <c r="L119" s="4">
        <v>18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230</v>
      </c>
      <c r="F120" s="4">
        <f>ROUND(Source!BA100,O120)</f>
        <v>0</v>
      </c>
      <c r="G120" s="4" t="s">
        <v>349</v>
      </c>
      <c r="H120" s="4" t="s">
        <v>350</v>
      </c>
      <c r="I120" s="4"/>
      <c r="J120" s="4"/>
      <c r="K120" s="4">
        <v>230</v>
      </c>
      <c r="L120" s="4">
        <v>19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206</v>
      </c>
      <c r="F121" s="4">
        <f>ROUND(Source!T100,O121)</f>
        <v>0</v>
      </c>
      <c r="G121" s="4" t="s">
        <v>351</v>
      </c>
      <c r="H121" s="4" t="s">
        <v>352</v>
      </c>
      <c r="I121" s="4"/>
      <c r="J121" s="4"/>
      <c r="K121" s="4">
        <v>206</v>
      </c>
      <c r="L121" s="4">
        <v>20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207</v>
      </c>
      <c r="F122" s="4">
        <f>Source!U100</f>
        <v>1106.6487977999998</v>
      </c>
      <c r="G122" s="4" t="s">
        <v>353</v>
      </c>
      <c r="H122" s="4" t="s">
        <v>354</v>
      </c>
      <c r="I122" s="4"/>
      <c r="J122" s="4"/>
      <c r="K122" s="4">
        <v>207</v>
      </c>
      <c r="L122" s="4">
        <v>21</v>
      </c>
      <c r="M122" s="4">
        <v>3</v>
      </c>
      <c r="N122" s="4" t="s">
        <v>3</v>
      </c>
      <c r="O122" s="4">
        <v>-1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208</v>
      </c>
      <c r="F123" s="4">
        <f>Source!V100</f>
        <v>17.725808000000001</v>
      </c>
      <c r="G123" s="4" t="s">
        <v>355</v>
      </c>
      <c r="H123" s="4" t="s">
        <v>356</v>
      </c>
      <c r="I123" s="4"/>
      <c r="J123" s="4"/>
      <c r="K123" s="4">
        <v>208</v>
      </c>
      <c r="L123" s="4">
        <v>22</v>
      </c>
      <c r="M123" s="4">
        <v>3</v>
      </c>
      <c r="N123" s="4" t="s">
        <v>3</v>
      </c>
      <c r="O123" s="4">
        <v>-1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209</v>
      </c>
      <c r="F124" s="4">
        <f>ROUND(Source!W100,O124)</f>
        <v>0</v>
      </c>
      <c r="G124" s="4" t="s">
        <v>357</v>
      </c>
      <c r="H124" s="4" t="s">
        <v>358</v>
      </c>
      <c r="I124" s="4"/>
      <c r="J124" s="4"/>
      <c r="K124" s="4">
        <v>209</v>
      </c>
      <c r="L124" s="4">
        <v>23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210</v>
      </c>
      <c r="F125" s="4">
        <f>ROUND(Source!X100,O125)</f>
        <v>62171.03</v>
      </c>
      <c r="G125" s="4" t="s">
        <v>359</v>
      </c>
      <c r="H125" s="4" t="s">
        <v>360</v>
      </c>
      <c r="I125" s="4"/>
      <c r="J125" s="4"/>
      <c r="K125" s="4">
        <v>210</v>
      </c>
      <c r="L125" s="4">
        <v>24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211</v>
      </c>
      <c r="F126" s="4">
        <f>ROUND(Source!Y100,O126)</f>
        <v>33801.18</v>
      </c>
      <c r="G126" s="4" t="s">
        <v>361</v>
      </c>
      <c r="H126" s="4" t="s">
        <v>362</v>
      </c>
      <c r="I126" s="4"/>
      <c r="J126" s="4"/>
      <c r="K126" s="4">
        <v>211</v>
      </c>
      <c r="L126" s="4">
        <v>25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224</v>
      </c>
      <c r="F127" s="4">
        <f>ROUND(Source!AR100,O127)</f>
        <v>768637.17</v>
      </c>
      <c r="G127" s="4" t="s">
        <v>363</v>
      </c>
      <c r="H127" s="4" t="s">
        <v>364</v>
      </c>
      <c r="I127" s="4"/>
      <c r="J127" s="4"/>
      <c r="K127" s="4">
        <v>224</v>
      </c>
      <c r="L127" s="4">
        <v>26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9" spans="1:245" x14ac:dyDescent="0.2">
      <c r="A129" s="1">
        <v>4</v>
      </c>
      <c r="B129" s="1">
        <v>1</v>
      </c>
      <c r="C129" s="1"/>
      <c r="D129" s="1">
        <f>ROW(A162)</f>
        <v>162</v>
      </c>
      <c r="E129" s="1"/>
      <c r="F129" s="1" t="s">
        <v>12</v>
      </c>
      <c r="G129" s="1" t="s">
        <v>365</v>
      </c>
      <c r="H129" s="1" t="s">
        <v>3</v>
      </c>
      <c r="I129" s="1">
        <v>0</v>
      </c>
      <c r="J129" s="1"/>
      <c r="K129" s="1">
        <v>-1</v>
      </c>
      <c r="L129" s="1"/>
      <c r="M129" s="1"/>
      <c r="N129" s="1"/>
      <c r="O129" s="1"/>
      <c r="P129" s="1"/>
      <c r="Q129" s="1"/>
      <c r="R129" s="1"/>
      <c r="S129" s="1"/>
      <c r="T129" s="1"/>
      <c r="U129" s="1" t="s">
        <v>3</v>
      </c>
      <c r="V129" s="1">
        <v>0</v>
      </c>
      <c r="W129" s="1"/>
      <c r="X129" s="1"/>
      <c r="Y129" s="1"/>
      <c r="Z129" s="1"/>
      <c r="AA129" s="1"/>
      <c r="AB129" s="1" t="s">
        <v>3</v>
      </c>
      <c r="AC129" s="1" t="s">
        <v>3</v>
      </c>
      <c r="AD129" s="1" t="s">
        <v>3</v>
      </c>
      <c r="AE129" s="1" t="s">
        <v>3</v>
      </c>
      <c r="AF129" s="1" t="s">
        <v>3</v>
      </c>
      <c r="AG129" s="1" t="s">
        <v>3</v>
      </c>
      <c r="AH129" s="1"/>
      <c r="AI129" s="1"/>
      <c r="AJ129" s="1"/>
      <c r="AK129" s="1"/>
      <c r="AL129" s="1"/>
      <c r="AM129" s="1"/>
      <c r="AN129" s="1"/>
      <c r="AO129" s="1"/>
      <c r="AP129" s="1" t="s">
        <v>3</v>
      </c>
      <c r="AQ129" s="1" t="s">
        <v>3</v>
      </c>
      <c r="AR129" s="1" t="s">
        <v>3</v>
      </c>
      <c r="AS129" s="1"/>
      <c r="AT129" s="1"/>
      <c r="AU129" s="1"/>
      <c r="AV129" s="1"/>
      <c r="AW129" s="1"/>
      <c r="AX129" s="1"/>
      <c r="AY129" s="1"/>
      <c r="AZ129" s="1" t="s">
        <v>3</v>
      </c>
      <c r="BA129" s="1"/>
      <c r="BB129" s="1" t="s">
        <v>3</v>
      </c>
      <c r="BC129" s="1" t="s">
        <v>3</v>
      </c>
      <c r="BD129" s="1" t="s">
        <v>3</v>
      </c>
      <c r="BE129" s="1" t="s">
        <v>3</v>
      </c>
      <c r="BF129" s="1" t="s">
        <v>3</v>
      </c>
      <c r="BG129" s="1" t="s">
        <v>3</v>
      </c>
      <c r="BH129" s="1" t="s">
        <v>3</v>
      </c>
      <c r="BI129" s="1" t="s">
        <v>3</v>
      </c>
      <c r="BJ129" s="1" t="s">
        <v>3</v>
      </c>
      <c r="BK129" s="1" t="s">
        <v>3</v>
      </c>
      <c r="BL129" s="1" t="s">
        <v>3</v>
      </c>
      <c r="BM129" s="1" t="s">
        <v>3</v>
      </c>
      <c r="BN129" s="1" t="s">
        <v>3</v>
      </c>
      <c r="BO129" s="1" t="s">
        <v>3</v>
      </c>
      <c r="BP129" s="1" t="s">
        <v>3</v>
      </c>
      <c r="BQ129" s="1"/>
      <c r="BR129" s="1"/>
      <c r="BS129" s="1"/>
      <c r="BT129" s="1"/>
      <c r="BU129" s="1"/>
      <c r="BV129" s="1"/>
      <c r="BW129" s="1"/>
      <c r="BX129" s="1">
        <v>0</v>
      </c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>
        <v>0</v>
      </c>
    </row>
    <row r="131" spans="1:245" x14ac:dyDescent="0.2">
      <c r="A131" s="2">
        <v>52</v>
      </c>
      <c r="B131" s="2">
        <f t="shared" ref="B131:G131" si="135">B162</f>
        <v>1</v>
      </c>
      <c r="C131" s="2">
        <f t="shared" si="135"/>
        <v>4</v>
      </c>
      <c r="D131" s="2">
        <f t="shared" si="135"/>
        <v>129</v>
      </c>
      <c r="E131" s="2">
        <f t="shared" si="135"/>
        <v>0</v>
      </c>
      <c r="F131" s="2" t="str">
        <f t="shared" si="135"/>
        <v>Новый раздел</v>
      </c>
      <c r="G131" s="2" t="str">
        <f t="shared" si="135"/>
        <v>Система электроснабжения</v>
      </c>
      <c r="H131" s="2"/>
      <c r="I131" s="2"/>
      <c r="J131" s="2"/>
      <c r="K131" s="2"/>
      <c r="L131" s="2"/>
      <c r="M131" s="2"/>
      <c r="N131" s="2"/>
      <c r="O131" s="2">
        <f t="shared" ref="O131:AT131" si="136">O162</f>
        <v>162414.85999999999</v>
      </c>
      <c r="P131" s="2">
        <f t="shared" si="136"/>
        <v>152645.97</v>
      </c>
      <c r="Q131" s="2">
        <f t="shared" si="136"/>
        <v>861.8</v>
      </c>
      <c r="R131" s="2">
        <f t="shared" si="136"/>
        <v>100.6</v>
      </c>
      <c r="S131" s="2">
        <f t="shared" si="136"/>
        <v>8907.09</v>
      </c>
      <c r="T131" s="2">
        <f t="shared" si="136"/>
        <v>0</v>
      </c>
      <c r="U131" s="2">
        <f t="shared" si="136"/>
        <v>151.01688000000001</v>
      </c>
      <c r="V131" s="2">
        <f t="shared" si="136"/>
        <v>1.3057600000000003</v>
      </c>
      <c r="W131" s="2">
        <f t="shared" si="136"/>
        <v>0</v>
      </c>
      <c r="X131" s="2">
        <f t="shared" si="136"/>
        <v>8551.93</v>
      </c>
      <c r="Y131" s="2">
        <f t="shared" si="136"/>
        <v>5853.21</v>
      </c>
      <c r="Z131" s="2">
        <f t="shared" si="136"/>
        <v>0</v>
      </c>
      <c r="AA131" s="2">
        <f t="shared" si="136"/>
        <v>0</v>
      </c>
      <c r="AB131" s="2">
        <f t="shared" si="136"/>
        <v>162414.85999999999</v>
      </c>
      <c r="AC131" s="2">
        <f t="shared" si="136"/>
        <v>152645.97</v>
      </c>
      <c r="AD131" s="2">
        <f t="shared" si="136"/>
        <v>861.8</v>
      </c>
      <c r="AE131" s="2">
        <f t="shared" si="136"/>
        <v>100.6</v>
      </c>
      <c r="AF131" s="2">
        <f t="shared" si="136"/>
        <v>8907.09</v>
      </c>
      <c r="AG131" s="2">
        <f t="shared" si="136"/>
        <v>0</v>
      </c>
      <c r="AH131" s="2">
        <f t="shared" si="136"/>
        <v>151.01688000000001</v>
      </c>
      <c r="AI131" s="2">
        <f t="shared" si="136"/>
        <v>1.3057600000000003</v>
      </c>
      <c r="AJ131" s="2">
        <f t="shared" si="136"/>
        <v>0</v>
      </c>
      <c r="AK131" s="2">
        <f t="shared" si="136"/>
        <v>8551.93</v>
      </c>
      <c r="AL131" s="2">
        <f t="shared" si="136"/>
        <v>5853.21</v>
      </c>
      <c r="AM131" s="2">
        <f t="shared" si="136"/>
        <v>0</v>
      </c>
      <c r="AN131" s="2">
        <f t="shared" si="136"/>
        <v>0</v>
      </c>
      <c r="AO131" s="2">
        <f t="shared" si="136"/>
        <v>0</v>
      </c>
      <c r="AP131" s="2">
        <f t="shared" si="136"/>
        <v>0</v>
      </c>
      <c r="AQ131" s="2">
        <f t="shared" si="136"/>
        <v>0</v>
      </c>
      <c r="AR131" s="2">
        <f t="shared" si="136"/>
        <v>176820</v>
      </c>
      <c r="AS131" s="2">
        <f t="shared" si="136"/>
        <v>0</v>
      </c>
      <c r="AT131" s="2">
        <f t="shared" si="136"/>
        <v>176820</v>
      </c>
      <c r="AU131" s="2">
        <f t="shared" ref="AU131:BZ131" si="137">AU162</f>
        <v>0</v>
      </c>
      <c r="AV131" s="2">
        <f t="shared" si="137"/>
        <v>152645.97</v>
      </c>
      <c r="AW131" s="2">
        <f t="shared" si="137"/>
        <v>152645.97</v>
      </c>
      <c r="AX131" s="2">
        <f t="shared" si="137"/>
        <v>0</v>
      </c>
      <c r="AY131" s="2">
        <f t="shared" si="137"/>
        <v>152645.97</v>
      </c>
      <c r="AZ131" s="2">
        <f t="shared" si="137"/>
        <v>0</v>
      </c>
      <c r="BA131" s="2">
        <f t="shared" si="137"/>
        <v>0</v>
      </c>
      <c r="BB131" s="2">
        <f t="shared" si="137"/>
        <v>0</v>
      </c>
      <c r="BC131" s="2">
        <f t="shared" si="137"/>
        <v>0</v>
      </c>
      <c r="BD131" s="2">
        <f t="shared" si="137"/>
        <v>0</v>
      </c>
      <c r="BE131" s="2">
        <f t="shared" si="137"/>
        <v>0</v>
      </c>
      <c r="BF131" s="2">
        <f t="shared" si="137"/>
        <v>0</v>
      </c>
      <c r="BG131" s="2">
        <f t="shared" si="137"/>
        <v>0</v>
      </c>
      <c r="BH131" s="2">
        <f t="shared" si="137"/>
        <v>0</v>
      </c>
      <c r="BI131" s="2">
        <f t="shared" si="137"/>
        <v>0</v>
      </c>
      <c r="BJ131" s="2">
        <f t="shared" si="137"/>
        <v>0</v>
      </c>
      <c r="BK131" s="2">
        <f t="shared" si="137"/>
        <v>0</v>
      </c>
      <c r="BL131" s="2">
        <f t="shared" si="137"/>
        <v>0</v>
      </c>
      <c r="BM131" s="2">
        <f t="shared" si="137"/>
        <v>0</v>
      </c>
      <c r="BN131" s="2">
        <f t="shared" si="137"/>
        <v>0</v>
      </c>
      <c r="BO131" s="2">
        <f t="shared" si="137"/>
        <v>0</v>
      </c>
      <c r="BP131" s="2">
        <f t="shared" si="137"/>
        <v>0</v>
      </c>
      <c r="BQ131" s="2">
        <f t="shared" si="137"/>
        <v>0</v>
      </c>
      <c r="BR131" s="2">
        <f t="shared" si="137"/>
        <v>0</v>
      </c>
      <c r="BS131" s="2">
        <f t="shared" si="137"/>
        <v>0</v>
      </c>
      <c r="BT131" s="2">
        <f t="shared" si="137"/>
        <v>0</v>
      </c>
      <c r="BU131" s="2">
        <f t="shared" si="137"/>
        <v>0</v>
      </c>
      <c r="BV131" s="2">
        <f t="shared" si="137"/>
        <v>0</v>
      </c>
      <c r="BW131" s="2">
        <f t="shared" si="137"/>
        <v>0</v>
      </c>
      <c r="BX131" s="2">
        <f t="shared" si="137"/>
        <v>0</v>
      </c>
      <c r="BY131" s="2">
        <f t="shared" si="137"/>
        <v>0</v>
      </c>
      <c r="BZ131" s="2">
        <f t="shared" si="137"/>
        <v>0</v>
      </c>
      <c r="CA131" s="2">
        <f t="shared" ref="CA131:DF131" si="138">CA162</f>
        <v>176820</v>
      </c>
      <c r="CB131" s="2">
        <f t="shared" si="138"/>
        <v>0</v>
      </c>
      <c r="CC131" s="2">
        <f t="shared" si="138"/>
        <v>176820</v>
      </c>
      <c r="CD131" s="2">
        <f t="shared" si="138"/>
        <v>0</v>
      </c>
      <c r="CE131" s="2">
        <f t="shared" si="138"/>
        <v>152645.97</v>
      </c>
      <c r="CF131" s="2">
        <f t="shared" si="138"/>
        <v>152645.97</v>
      </c>
      <c r="CG131" s="2">
        <f t="shared" si="138"/>
        <v>0</v>
      </c>
      <c r="CH131" s="2">
        <f t="shared" si="138"/>
        <v>152645.97</v>
      </c>
      <c r="CI131" s="2">
        <f t="shared" si="138"/>
        <v>0</v>
      </c>
      <c r="CJ131" s="2">
        <f t="shared" si="138"/>
        <v>0</v>
      </c>
      <c r="CK131" s="2">
        <f t="shared" si="138"/>
        <v>0</v>
      </c>
      <c r="CL131" s="2">
        <f t="shared" si="138"/>
        <v>0</v>
      </c>
      <c r="CM131" s="2">
        <f t="shared" si="138"/>
        <v>0</v>
      </c>
      <c r="CN131" s="2">
        <f t="shared" si="138"/>
        <v>0</v>
      </c>
      <c r="CO131" s="2">
        <f t="shared" si="138"/>
        <v>0</v>
      </c>
      <c r="CP131" s="2">
        <f t="shared" si="138"/>
        <v>0</v>
      </c>
      <c r="CQ131" s="2">
        <f t="shared" si="138"/>
        <v>0</v>
      </c>
      <c r="CR131" s="2">
        <f t="shared" si="138"/>
        <v>0</v>
      </c>
      <c r="CS131" s="2">
        <f t="shared" si="138"/>
        <v>0</v>
      </c>
      <c r="CT131" s="2">
        <f t="shared" si="138"/>
        <v>0</v>
      </c>
      <c r="CU131" s="2">
        <f t="shared" si="138"/>
        <v>0</v>
      </c>
      <c r="CV131" s="2">
        <f t="shared" si="138"/>
        <v>0</v>
      </c>
      <c r="CW131" s="2">
        <f t="shared" si="138"/>
        <v>0</v>
      </c>
      <c r="CX131" s="2">
        <f t="shared" si="138"/>
        <v>0</v>
      </c>
      <c r="CY131" s="2">
        <f t="shared" si="138"/>
        <v>0</v>
      </c>
      <c r="CZ131" s="2">
        <f t="shared" si="138"/>
        <v>0</v>
      </c>
      <c r="DA131" s="2">
        <f t="shared" si="138"/>
        <v>0</v>
      </c>
      <c r="DB131" s="2">
        <f t="shared" si="138"/>
        <v>0</v>
      </c>
      <c r="DC131" s="2">
        <f t="shared" si="138"/>
        <v>0</v>
      </c>
      <c r="DD131" s="2">
        <f t="shared" si="138"/>
        <v>0</v>
      </c>
      <c r="DE131" s="2">
        <f t="shared" si="138"/>
        <v>0</v>
      </c>
      <c r="DF131" s="2">
        <f t="shared" si="138"/>
        <v>0</v>
      </c>
      <c r="DG131" s="3">
        <f t="shared" ref="DG131:EL131" si="139">DG162</f>
        <v>0</v>
      </c>
      <c r="DH131" s="3">
        <f t="shared" si="139"/>
        <v>0</v>
      </c>
      <c r="DI131" s="3">
        <f t="shared" si="139"/>
        <v>0</v>
      </c>
      <c r="DJ131" s="3">
        <f t="shared" si="139"/>
        <v>0</v>
      </c>
      <c r="DK131" s="3">
        <f t="shared" si="139"/>
        <v>0</v>
      </c>
      <c r="DL131" s="3">
        <f t="shared" si="139"/>
        <v>0</v>
      </c>
      <c r="DM131" s="3">
        <f t="shared" si="139"/>
        <v>0</v>
      </c>
      <c r="DN131" s="3">
        <f t="shared" si="139"/>
        <v>0</v>
      </c>
      <c r="DO131" s="3">
        <f t="shared" si="139"/>
        <v>0</v>
      </c>
      <c r="DP131" s="3">
        <f t="shared" si="139"/>
        <v>0</v>
      </c>
      <c r="DQ131" s="3">
        <f t="shared" si="139"/>
        <v>0</v>
      </c>
      <c r="DR131" s="3">
        <f t="shared" si="139"/>
        <v>0</v>
      </c>
      <c r="DS131" s="3">
        <f t="shared" si="139"/>
        <v>0</v>
      </c>
      <c r="DT131" s="3">
        <f t="shared" si="139"/>
        <v>0</v>
      </c>
      <c r="DU131" s="3">
        <f t="shared" si="139"/>
        <v>0</v>
      </c>
      <c r="DV131" s="3">
        <f t="shared" si="139"/>
        <v>0</v>
      </c>
      <c r="DW131" s="3">
        <f t="shared" si="139"/>
        <v>0</v>
      </c>
      <c r="DX131" s="3">
        <f t="shared" si="139"/>
        <v>0</v>
      </c>
      <c r="DY131" s="3">
        <f t="shared" si="139"/>
        <v>0</v>
      </c>
      <c r="DZ131" s="3">
        <f t="shared" si="139"/>
        <v>0</v>
      </c>
      <c r="EA131" s="3">
        <f t="shared" si="139"/>
        <v>0</v>
      </c>
      <c r="EB131" s="3">
        <f t="shared" si="139"/>
        <v>0</v>
      </c>
      <c r="EC131" s="3">
        <f t="shared" si="139"/>
        <v>0</v>
      </c>
      <c r="ED131" s="3">
        <f t="shared" si="139"/>
        <v>0</v>
      </c>
      <c r="EE131" s="3">
        <f t="shared" si="139"/>
        <v>0</v>
      </c>
      <c r="EF131" s="3">
        <f t="shared" si="139"/>
        <v>0</v>
      </c>
      <c r="EG131" s="3">
        <f t="shared" si="139"/>
        <v>0</v>
      </c>
      <c r="EH131" s="3">
        <f t="shared" si="139"/>
        <v>0</v>
      </c>
      <c r="EI131" s="3">
        <f t="shared" si="139"/>
        <v>0</v>
      </c>
      <c r="EJ131" s="3">
        <f t="shared" si="139"/>
        <v>0</v>
      </c>
      <c r="EK131" s="3">
        <f t="shared" si="139"/>
        <v>0</v>
      </c>
      <c r="EL131" s="3">
        <f t="shared" si="139"/>
        <v>0</v>
      </c>
      <c r="EM131" s="3">
        <f t="shared" ref="EM131:FR131" si="140">EM162</f>
        <v>0</v>
      </c>
      <c r="EN131" s="3">
        <f t="shared" si="140"/>
        <v>0</v>
      </c>
      <c r="EO131" s="3">
        <f t="shared" si="140"/>
        <v>0</v>
      </c>
      <c r="EP131" s="3">
        <f t="shared" si="140"/>
        <v>0</v>
      </c>
      <c r="EQ131" s="3">
        <f t="shared" si="140"/>
        <v>0</v>
      </c>
      <c r="ER131" s="3">
        <f t="shared" si="140"/>
        <v>0</v>
      </c>
      <c r="ES131" s="3">
        <f t="shared" si="140"/>
        <v>0</v>
      </c>
      <c r="ET131" s="3">
        <f t="shared" si="140"/>
        <v>0</v>
      </c>
      <c r="EU131" s="3">
        <f t="shared" si="140"/>
        <v>0</v>
      </c>
      <c r="EV131" s="3">
        <f t="shared" si="140"/>
        <v>0</v>
      </c>
      <c r="EW131" s="3">
        <f t="shared" si="140"/>
        <v>0</v>
      </c>
      <c r="EX131" s="3">
        <f t="shared" si="140"/>
        <v>0</v>
      </c>
      <c r="EY131" s="3">
        <f t="shared" si="140"/>
        <v>0</v>
      </c>
      <c r="EZ131" s="3">
        <f t="shared" si="140"/>
        <v>0</v>
      </c>
      <c r="FA131" s="3">
        <f t="shared" si="140"/>
        <v>0</v>
      </c>
      <c r="FB131" s="3">
        <f t="shared" si="140"/>
        <v>0</v>
      </c>
      <c r="FC131" s="3">
        <f t="shared" si="140"/>
        <v>0</v>
      </c>
      <c r="FD131" s="3">
        <f t="shared" si="140"/>
        <v>0</v>
      </c>
      <c r="FE131" s="3">
        <f t="shared" si="140"/>
        <v>0</v>
      </c>
      <c r="FF131" s="3">
        <f t="shared" si="140"/>
        <v>0</v>
      </c>
      <c r="FG131" s="3">
        <f t="shared" si="140"/>
        <v>0</v>
      </c>
      <c r="FH131" s="3">
        <f t="shared" si="140"/>
        <v>0</v>
      </c>
      <c r="FI131" s="3">
        <f t="shared" si="140"/>
        <v>0</v>
      </c>
      <c r="FJ131" s="3">
        <f t="shared" si="140"/>
        <v>0</v>
      </c>
      <c r="FK131" s="3">
        <f t="shared" si="140"/>
        <v>0</v>
      </c>
      <c r="FL131" s="3">
        <f t="shared" si="140"/>
        <v>0</v>
      </c>
      <c r="FM131" s="3">
        <f t="shared" si="140"/>
        <v>0</v>
      </c>
      <c r="FN131" s="3">
        <f t="shared" si="140"/>
        <v>0</v>
      </c>
      <c r="FO131" s="3">
        <f t="shared" si="140"/>
        <v>0</v>
      </c>
      <c r="FP131" s="3">
        <f t="shared" si="140"/>
        <v>0</v>
      </c>
      <c r="FQ131" s="3">
        <f t="shared" si="140"/>
        <v>0</v>
      </c>
      <c r="FR131" s="3">
        <f t="shared" si="140"/>
        <v>0</v>
      </c>
      <c r="FS131" s="3">
        <f t="shared" ref="FS131:GX131" si="141">FS162</f>
        <v>0</v>
      </c>
      <c r="FT131" s="3">
        <f t="shared" si="141"/>
        <v>0</v>
      </c>
      <c r="FU131" s="3">
        <f t="shared" si="141"/>
        <v>0</v>
      </c>
      <c r="FV131" s="3">
        <f t="shared" si="141"/>
        <v>0</v>
      </c>
      <c r="FW131" s="3">
        <f t="shared" si="141"/>
        <v>0</v>
      </c>
      <c r="FX131" s="3">
        <f t="shared" si="141"/>
        <v>0</v>
      </c>
      <c r="FY131" s="3">
        <f t="shared" si="141"/>
        <v>0</v>
      </c>
      <c r="FZ131" s="3">
        <f t="shared" si="141"/>
        <v>0</v>
      </c>
      <c r="GA131" s="3">
        <f t="shared" si="141"/>
        <v>0</v>
      </c>
      <c r="GB131" s="3">
        <f t="shared" si="141"/>
        <v>0</v>
      </c>
      <c r="GC131" s="3">
        <f t="shared" si="141"/>
        <v>0</v>
      </c>
      <c r="GD131" s="3">
        <f t="shared" si="141"/>
        <v>0</v>
      </c>
      <c r="GE131" s="3">
        <f t="shared" si="141"/>
        <v>0</v>
      </c>
      <c r="GF131" s="3">
        <f t="shared" si="141"/>
        <v>0</v>
      </c>
      <c r="GG131" s="3">
        <f t="shared" si="141"/>
        <v>0</v>
      </c>
      <c r="GH131" s="3">
        <f t="shared" si="141"/>
        <v>0</v>
      </c>
      <c r="GI131" s="3">
        <f t="shared" si="141"/>
        <v>0</v>
      </c>
      <c r="GJ131" s="3">
        <f t="shared" si="141"/>
        <v>0</v>
      </c>
      <c r="GK131" s="3">
        <f t="shared" si="141"/>
        <v>0</v>
      </c>
      <c r="GL131" s="3">
        <f t="shared" si="141"/>
        <v>0</v>
      </c>
      <c r="GM131" s="3">
        <f t="shared" si="141"/>
        <v>0</v>
      </c>
      <c r="GN131" s="3">
        <f t="shared" si="141"/>
        <v>0</v>
      </c>
      <c r="GO131" s="3">
        <f t="shared" si="141"/>
        <v>0</v>
      </c>
      <c r="GP131" s="3">
        <f t="shared" si="141"/>
        <v>0</v>
      </c>
      <c r="GQ131" s="3">
        <f t="shared" si="141"/>
        <v>0</v>
      </c>
      <c r="GR131" s="3">
        <f t="shared" si="141"/>
        <v>0</v>
      </c>
      <c r="GS131" s="3">
        <f t="shared" si="141"/>
        <v>0</v>
      </c>
      <c r="GT131" s="3">
        <f t="shared" si="141"/>
        <v>0</v>
      </c>
      <c r="GU131" s="3">
        <f t="shared" si="141"/>
        <v>0</v>
      </c>
      <c r="GV131" s="3">
        <f t="shared" si="141"/>
        <v>0</v>
      </c>
      <c r="GW131" s="3">
        <f t="shared" si="141"/>
        <v>0</v>
      </c>
      <c r="GX131" s="3">
        <f t="shared" si="141"/>
        <v>0</v>
      </c>
    </row>
    <row r="133" spans="1:245" x14ac:dyDescent="0.2">
      <c r="A133">
        <v>17</v>
      </c>
      <c r="B133">
        <v>1</v>
      </c>
      <c r="C133">
        <f>ROW(SmtRes!A280)</f>
        <v>280</v>
      </c>
      <c r="D133">
        <f>ROW(EtalonRes!A265)</f>
        <v>265</v>
      </c>
      <c r="E133" t="s">
        <v>366</v>
      </c>
      <c r="F133" t="s">
        <v>367</v>
      </c>
      <c r="G133" t="s">
        <v>368</v>
      </c>
      <c r="H133" t="s">
        <v>69</v>
      </c>
      <c r="I133">
        <f>ROUND(30/100,9)</f>
        <v>0.3</v>
      </c>
      <c r="J133">
        <v>0</v>
      </c>
      <c r="O133">
        <f t="shared" ref="O133:O160" si="142">ROUND(CP133,2)</f>
        <v>183.98</v>
      </c>
      <c r="P133">
        <f t="shared" ref="P133:P160" si="143">ROUND(CQ133*I133,2)</f>
        <v>41.73</v>
      </c>
      <c r="Q133">
        <f t="shared" ref="Q133:Q160" si="144">ROUND(CR133*I133,2)</f>
        <v>11.75</v>
      </c>
      <c r="R133">
        <f t="shared" ref="R133:R160" si="145">ROUND(CS133*I133,2)</f>
        <v>1.67</v>
      </c>
      <c r="S133">
        <f t="shared" ref="S133:S160" si="146">ROUND(CT133*I133,2)</f>
        <v>130.5</v>
      </c>
      <c r="T133">
        <f t="shared" ref="T133:T160" si="147">ROUND(CU133*I133,2)</f>
        <v>0</v>
      </c>
      <c r="U133">
        <f t="shared" ref="U133:U160" si="148">CV133*I133</f>
        <v>2.2643999999999997</v>
      </c>
      <c r="V133">
        <f t="shared" ref="V133:V160" si="149">CW133*I133</f>
        <v>2.1599999999999998E-2</v>
      </c>
      <c r="W133">
        <f t="shared" ref="W133:W160" si="150">ROUND(CX133*I133,2)</f>
        <v>0</v>
      </c>
      <c r="X133">
        <f t="shared" ref="X133:X160" si="151">ROUND(CY133,2)</f>
        <v>125.56</v>
      </c>
      <c r="Y133">
        <f t="shared" ref="Y133:Y160" si="152">ROUND(CZ133,2)</f>
        <v>85.91</v>
      </c>
      <c r="AA133">
        <v>39476960</v>
      </c>
      <c r="AB133">
        <f t="shared" ref="AB133:AB160" si="153">ROUND((AC133+AD133+AF133),2)</f>
        <v>100.04</v>
      </c>
      <c r="AC133">
        <f t="shared" ref="AC133:AC160" si="154">ROUND((ES133),2)</f>
        <v>22.69</v>
      </c>
      <c r="AD133">
        <f>ROUND(((((ET133*1.2))-((EU133*1.2)))+AE133),2)</f>
        <v>6.39</v>
      </c>
      <c r="AE133">
        <f>ROUND(((EU133*1.2)),2)</f>
        <v>0.91</v>
      </c>
      <c r="AF133">
        <f>ROUND(((EV133*1.2)),2)</f>
        <v>70.959999999999994</v>
      </c>
      <c r="AG133">
        <f t="shared" ref="AG133:AG160" si="155">ROUND((AP133),2)</f>
        <v>0</v>
      </c>
      <c r="AH133">
        <f>((EW133*1.2))</f>
        <v>7.548</v>
      </c>
      <c r="AI133">
        <f>((EX133*1.2))</f>
        <v>7.1999999999999995E-2</v>
      </c>
      <c r="AJ133">
        <f t="shared" ref="AJ133:AJ160" si="156">ROUND((AS133),2)</f>
        <v>0</v>
      </c>
      <c r="AK133">
        <v>87.15</v>
      </c>
      <c r="AL133">
        <v>22.69</v>
      </c>
      <c r="AM133">
        <v>5.33</v>
      </c>
      <c r="AN133">
        <v>0.76</v>
      </c>
      <c r="AO133">
        <v>59.13</v>
      </c>
      <c r="AP133">
        <v>0</v>
      </c>
      <c r="AQ133">
        <v>6.29</v>
      </c>
      <c r="AR133">
        <v>0.06</v>
      </c>
      <c r="AS133">
        <v>0</v>
      </c>
      <c r="AT133">
        <v>95</v>
      </c>
      <c r="AU133">
        <v>65</v>
      </c>
      <c r="AV133">
        <v>1</v>
      </c>
      <c r="AW133">
        <v>1</v>
      </c>
      <c r="AZ133">
        <v>6.13</v>
      </c>
      <c r="BA133">
        <v>6.13</v>
      </c>
      <c r="BB133">
        <v>6.13</v>
      </c>
      <c r="BC133">
        <v>6.13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2</v>
      </c>
      <c r="BJ133" t="s">
        <v>369</v>
      </c>
      <c r="BM133">
        <v>108001</v>
      </c>
      <c r="BN133">
        <v>0</v>
      </c>
      <c r="BO133" t="s">
        <v>3</v>
      </c>
      <c r="BP133">
        <v>0</v>
      </c>
      <c r="BQ133">
        <v>3</v>
      </c>
      <c r="BR133">
        <v>0</v>
      </c>
      <c r="BS133">
        <v>6.13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95</v>
      </c>
      <c r="CA133">
        <v>65</v>
      </c>
      <c r="CF133">
        <v>0</v>
      </c>
      <c r="CG133">
        <v>0</v>
      </c>
      <c r="CM133">
        <v>0</v>
      </c>
      <c r="CN133" t="s">
        <v>370</v>
      </c>
      <c r="CO133">
        <v>0</v>
      </c>
      <c r="CP133">
        <f t="shared" ref="CP133:CP160" si="157">(P133+Q133+S133)</f>
        <v>183.98</v>
      </c>
      <c r="CQ133">
        <f t="shared" ref="CQ133:CQ160" si="158">AC133*BC133</f>
        <v>139.08969999999999</v>
      </c>
      <c r="CR133">
        <f t="shared" ref="CR133:CR160" si="159">AD133*BB133</f>
        <v>39.170699999999997</v>
      </c>
      <c r="CS133">
        <f t="shared" ref="CS133:CS160" si="160">AE133*BS133</f>
        <v>5.5783000000000005</v>
      </c>
      <c r="CT133">
        <f t="shared" ref="CT133:CT160" si="161">AF133*BA133</f>
        <v>434.98479999999995</v>
      </c>
      <c r="CU133">
        <f t="shared" ref="CU133:CU160" si="162">AG133</f>
        <v>0</v>
      </c>
      <c r="CV133">
        <f t="shared" ref="CV133:CV160" si="163">AH133</f>
        <v>7.548</v>
      </c>
      <c r="CW133">
        <f t="shared" ref="CW133:CW160" si="164">AI133</f>
        <v>7.1999999999999995E-2</v>
      </c>
      <c r="CX133">
        <f t="shared" ref="CX133:CX160" si="165">AJ133</f>
        <v>0</v>
      </c>
      <c r="CY133">
        <f t="shared" ref="CY133:CY160" si="166">(((S133+R133)*AT133)/100)</f>
        <v>125.5615</v>
      </c>
      <c r="CZ133">
        <f t="shared" ref="CZ133:CZ160" si="167">(((S133+R133)*AU133)/100)</f>
        <v>85.910499999999999</v>
      </c>
      <c r="DC133" t="s">
        <v>3</v>
      </c>
      <c r="DD133" t="s">
        <v>3</v>
      </c>
      <c r="DE133" t="s">
        <v>371</v>
      </c>
      <c r="DF133" t="s">
        <v>371</v>
      </c>
      <c r="DG133" t="s">
        <v>371</v>
      </c>
      <c r="DH133" t="s">
        <v>3</v>
      </c>
      <c r="DI133" t="s">
        <v>371</v>
      </c>
      <c r="DJ133" t="s">
        <v>371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69</v>
      </c>
      <c r="DW133" t="s">
        <v>69</v>
      </c>
      <c r="DX133">
        <v>100</v>
      </c>
      <c r="EE133">
        <v>39174386</v>
      </c>
      <c r="EF133">
        <v>3</v>
      </c>
      <c r="EG133" t="s">
        <v>372</v>
      </c>
      <c r="EH133">
        <v>0</v>
      </c>
      <c r="EI133" t="s">
        <v>3</v>
      </c>
      <c r="EJ133">
        <v>2</v>
      </c>
      <c r="EK133">
        <v>108001</v>
      </c>
      <c r="EL133" t="s">
        <v>373</v>
      </c>
      <c r="EM133" t="s">
        <v>374</v>
      </c>
      <c r="EO133" t="s">
        <v>375</v>
      </c>
      <c r="EQ133">
        <v>0</v>
      </c>
      <c r="ER133">
        <v>87.15</v>
      </c>
      <c r="ES133">
        <v>22.69</v>
      </c>
      <c r="ET133">
        <v>5.33</v>
      </c>
      <c r="EU133">
        <v>0.76</v>
      </c>
      <c r="EV133">
        <v>59.13</v>
      </c>
      <c r="EW133">
        <v>6.29</v>
      </c>
      <c r="EX133">
        <v>0.06</v>
      </c>
      <c r="EY133">
        <v>0</v>
      </c>
      <c r="FQ133">
        <v>0</v>
      </c>
      <c r="FR133">
        <f t="shared" ref="FR133:FR160" si="168">ROUND(IF(AND(BH133=3,BI133=3),P133,0),2)</f>
        <v>0</v>
      </c>
      <c r="FS133">
        <v>0</v>
      </c>
      <c r="FX133">
        <v>95</v>
      </c>
      <c r="FY133">
        <v>65</v>
      </c>
      <c r="GA133" t="s">
        <v>3</v>
      </c>
      <c r="GD133">
        <v>0</v>
      </c>
      <c r="GF133">
        <v>1667817228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ref="GL133:GL160" si="169">ROUND(IF(AND(BH133=3,BI133=3,FS133&lt;&gt;0),P133,0),2)</f>
        <v>0</v>
      </c>
      <c r="GM133">
        <f t="shared" ref="GM133:GM160" si="170">ROUND(O133+X133+Y133+GK133,2)+GX133</f>
        <v>395.45</v>
      </c>
      <c r="GN133">
        <f t="shared" ref="GN133:GN160" si="171">IF(OR(BI133=0,BI133=1),ROUND(O133+X133+Y133+GK133,2),0)</f>
        <v>0</v>
      </c>
      <c r="GO133">
        <f t="shared" ref="GO133:GO160" si="172">IF(BI133=2,ROUND(O133+X133+Y133+GK133,2),0)</f>
        <v>395.45</v>
      </c>
      <c r="GP133">
        <f t="shared" ref="GP133:GP160" si="173">IF(BI133=4,ROUND(O133+X133+Y133+GK133,2)+GX133,0)</f>
        <v>0</v>
      </c>
      <c r="GR133">
        <v>0</v>
      </c>
      <c r="GS133">
        <v>3</v>
      </c>
      <c r="GT133">
        <v>0</v>
      </c>
      <c r="GU133" t="s">
        <v>3</v>
      </c>
      <c r="GV133">
        <f t="shared" ref="GV133:GV160" si="174">ROUND(GT133,2)</f>
        <v>0</v>
      </c>
      <c r="GW133">
        <v>1</v>
      </c>
      <c r="GX133">
        <f t="shared" ref="GX133:GX160" si="175">ROUND(GV133*GW133*I133,2)</f>
        <v>0</v>
      </c>
      <c r="HA133">
        <v>0</v>
      </c>
      <c r="HB133">
        <v>0</v>
      </c>
      <c r="IK133">
        <v>0</v>
      </c>
    </row>
    <row r="134" spans="1:245" x14ac:dyDescent="0.2">
      <c r="A134">
        <v>18</v>
      </c>
      <c r="B134">
        <v>1</v>
      </c>
      <c r="C134">
        <v>279</v>
      </c>
      <c r="E134" t="s">
        <v>376</v>
      </c>
      <c r="F134" t="s">
        <v>377</v>
      </c>
      <c r="G134" t="s">
        <v>378</v>
      </c>
      <c r="H134" t="s">
        <v>379</v>
      </c>
      <c r="I134">
        <f>I133*J134</f>
        <v>0.03</v>
      </c>
      <c r="J134">
        <v>0.1</v>
      </c>
      <c r="O134">
        <f t="shared" si="142"/>
        <v>1272.6600000000001</v>
      </c>
      <c r="P134">
        <f t="shared" si="143"/>
        <v>1272.6600000000001</v>
      </c>
      <c r="Q134">
        <f t="shared" si="144"/>
        <v>0</v>
      </c>
      <c r="R134">
        <f t="shared" si="145"/>
        <v>0</v>
      </c>
      <c r="S134">
        <f t="shared" si="146"/>
        <v>0</v>
      </c>
      <c r="T134">
        <f t="shared" si="147"/>
        <v>0</v>
      </c>
      <c r="U134">
        <f t="shared" si="148"/>
        <v>0</v>
      </c>
      <c r="V134">
        <f t="shared" si="149"/>
        <v>0</v>
      </c>
      <c r="W134">
        <f t="shared" si="150"/>
        <v>0</v>
      </c>
      <c r="X134">
        <f t="shared" si="151"/>
        <v>0</v>
      </c>
      <c r="Y134">
        <f t="shared" si="152"/>
        <v>0</v>
      </c>
      <c r="AA134">
        <v>39476960</v>
      </c>
      <c r="AB134">
        <f t="shared" si="153"/>
        <v>6920.41</v>
      </c>
      <c r="AC134">
        <f t="shared" si="154"/>
        <v>6920.41</v>
      </c>
      <c r="AD134">
        <f>ROUND((((ET134)-(EU134))+AE134),2)</f>
        <v>0</v>
      </c>
      <c r="AE134">
        <f>ROUND((EU134),2)</f>
        <v>0</v>
      </c>
      <c r="AF134">
        <f>ROUND((EV134),2)</f>
        <v>0</v>
      </c>
      <c r="AG134">
        <f t="shared" si="155"/>
        <v>0</v>
      </c>
      <c r="AH134">
        <f>(EW134)</f>
        <v>0</v>
      </c>
      <c r="AI134">
        <f>(EX134)</f>
        <v>0</v>
      </c>
      <c r="AJ134">
        <f t="shared" si="156"/>
        <v>0</v>
      </c>
      <c r="AK134">
        <v>6920.41</v>
      </c>
      <c r="AL134">
        <v>6920.41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95</v>
      </c>
      <c r="AU134">
        <v>65</v>
      </c>
      <c r="AV134">
        <v>1</v>
      </c>
      <c r="AW134">
        <v>1</v>
      </c>
      <c r="AZ134">
        <v>6.13</v>
      </c>
      <c r="BA134">
        <v>1</v>
      </c>
      <c r="BB134">
        <v>1</v>
      </c>
      <c r="BC134">
        <v>6.13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2</v>
      </c>
      <c r="BJ134" t="s">
        <v>380</v>
      </c>
      <c r="BM134">
        <v>108001</v>
      </c>
      <c r="BN134">
        <v>0</v>
      </c>
      <c r="BO134" t="s">
        <v>3</v>
      </c>
      <c r="BP134">
        <v>0</v>
      </c>
      <c r="BQ134">
        <v>3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95</v>
      </c>
      <c r="CA134">
        <v>65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57"/>
        <v>1272.6600000000001</v>
      </c>
      <c r="CQ134">
        <f t="shared" si="158"/>
        <v>42422.113299999997</v>
      </c>
      <c r="CR134">
        <f t="shared" si="159"/>
        <v>0</v>
      </c>
      <c r="CS134">
        <f t="shared" si="160"/>
        <v>0</v>
      </c>
      <c r="CT134">
        <f t="shared" si="161"/>
        <v>0</v>
      </c>
      <c r="CU134">
        <f t="shared" si="162"/>
        <v>0</v>
      </c>
      <c r="CV134">
        <f t="shared" si="163"/>
        <v>0</v>
      </c>
      <c r="CW134">
        <f t="shared" si="164"/>
        <v>0</v>
      </c>
      <c r="CX134">
        <f t="shared" si="165"/>
        <v>0</v>
      </c>
      <c r="CY134">
        <f t="shared" si="166"/>
        <v>0</v>
      </c>
      <c r="CZ134">
        <f t="shared" si="167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1013</v>
      </c>
      <c r="DV134" t="s">
        <v>379</v>
      </c>
      <c r="DW134" t="s">
        <v>381</v>
      </c>
      <c r="DX134">
        <v>1</v>
      </c>
      <c r="EE134">
        <v>39174386</v>
      </c>
      <c r="EF134">
        <v>3</v>
      </c>
      <c r="EG134" t="s">
        <v>372</v>
      </c>
      <c r="EH134">
        <v>0</v>
      </c>
      <c r="EI134" t="s">
        <v>3</v>
      </c>
      <c r="EJ134">
        <v>2</v>
      </c>
      <c r="EK134">
        <v>108001</v>
      </c>
      <c r="EL134" t="s">
        <v>373</v>
      </c>
      <c r="EM134" t="s">
        <v>374</v>
      </c>
      <c r="EO134" t="s">
        <v>3</v>
      </c>
      <c r="EQ134">
        <v>0</v>
      </c>
      <c r="ER134">
        <v>6920.41</v>
      </c>
      <c r="ES134">
        <v>6920.41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68"/>
        <v>0</v>
      </c>
      <c r="FS134">
        <v>0</v>
      </c>
      <c r="FX134">
        <v>95</v>
      </c>
      <c r="FY134">
        <v>65</v>
      </c>
      <c r="GA134" t="s">
        <v>3</v>
      </c>
      <c r="GD134">
        <v>0</v>
      </c>
      <c r="GF134">
        <v>559331636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69"/>
        <v>0</v>
      </c>
      <c r="GM134">
        <f t="shared" si="170"/>
        <v>1272.6600000000001</v>
      </c>
      <c r="GN134">
        <f t="shared" si="171"/>
        <v>0</v>
      </c>
      <c r="GO134">
        <f t="shared" si="172"/>
        <v>1272.6600000000001</v>
      </c>
      <c r="GP134">
        <f t="shared" si="173"/>
        <v>0</v>
      </c>
      <c r="GR134">
        <v>0</v>
      </c>
      <c r="GS134">
        <v>3</v>
      </c>
      <c r="GT134">
        <v>0</v>
      </c>
      <c r="GU134" t="s">
        <v>3</v>
      </c>
      <c r="GV134">
        <f t="shared" si="174"/>
        <v>0</v>
      </c>
      <c r="GW134">
        <v>1</v>
      </c>
      <c r="GX134">
        <f t="shared" si="175"/>
        <v>0</v>
      </c>
      <c r="HA134">
        <v>0</v>
      </c>
      <c r="HB134">
        <v>0</v>
      </c>
      <c r="IK134">
        <v>0</v>
      </c>
    </row>
    <row r="135" spans="1:245" x14ac:dyDescent="0.2">
      <c r="A135">
        <v>17</v>
      </c>
      <c r="B135">
        <v>1</v>
      </c>
      <c r="C135">
        <f>ROW(SmtRes!A291)</f>
        <v>291</v>
      </c>
      <c r="D135">
        <f>ROW(EtalonRes!A275)</f>
        <v>275</v>
      </c>
      <c r="E135" t="s">
        <v>382</v>
      </c>
      <c r="F135" t="s">
        <v>383</v>
      </c>
      <c r="G135" t="s">
        <v>384</v>
      </c>
      <c r="H135" t="s">
        <v>69</v>
      </c>
      <c r="I135">
        <f>ROUND(50/100,9)</f>
        <v>0.5</v>
      </c>
      <c r="J135">
        <v>0</v>
      </c>
      <c r="O135">
        <f t="shared" si="142"/>
        <v>460.61</v>
      </c>
      <c r="P135">
        <f t="shared" si="143"/>
        <v>111.66</v>
      </c>
      <c r="Q135">
        <f t="shared" si="144"/>
        <v>39.200000000000003</v>
      </c>
      <c r="R135">
        <f t="shared" si="145"/>
        <v>5.55</v>
      </c>
      <c r="S135">
        <f t="shared" si="146"/>
        <v>309.75</v>
      </c>
      <c r="T135">
        <f t="shared" si="147"/>
        <v>0</v>
      </c>
      <c r="U135">
        <f t="shared" si="148"/>
        <v>5.3760000000000003</v>
      </c>
      <c r="V135">
        <f t="shared" si="149"/>
        <v>7.1999999999999995E-2</v>
      </c>
      <c r="W135">
        <f t="shared" si="150"/>
        <v>0</v>
      </c>
      <c r="X135">
        <f t="shared" si="151"/>
        <v>299.54000000000002</v>
      </c>
      <c r="Y135">
        <f t="shared" si="152"/>
        <v>204.95</v>
      </c>
      <c r="AA135">
        <v>39476960</v>
      </c>
      <c r="AB135">
        <f t="shared" si="153"/>
        <v>150.28</v>
      </c>
      <c r="AC135">
        <f t="shared" si="154"/>
        <v>36.43</v>
      </c>
      <c r="AD135">
        <f>ROUND(((((ET135*1.2))-((EU135*1.2)))+AE135),2)</f>
        <v>12.79</v>
      </c>
      <c r="AE135">
        <f>ROUND(((EU135*1.2)),2)</f>
        <v>1.81</v>
      </c>
      <c r="AF135">
        <f>ROUND(((EV135*1.2)),2)</f>
        <v>101.06</v>
      </c>
      <c r="AG135">
        <f t="shared" si="155"/>
        <v>0</v>
      </c>
      <c r="AH135">
        <f>((EW135*1.2))</f>
        <v>10.752000000000001</v>
      </c>
      <c r="AI135">
        <f>((EX135*1.2))</f>
        <v>0.14399999999999999</v>
      </c>
      <c r="AJ135">
        <f t="shared" si="156"/>
        <v>0</v>
      </c>
      <c r="AK135">
        <v>131.31</v>
      </c>
      <c r="AL135">
        <v>36.43</v>
      </c>
      <c r="AM135">
        <v>10.66</v>
      </c>
      <c r="AN135">
        <v>1.51</v>
      </c>
      <c r="AO135">
        <v>84.22</v>
      </c>
      <c r="AP135">
        <v>0</v>
      </c>
      <c r="AQ135">
        <v>8.9600000000000009</v>
      </c>
      <c r="AR135">
        <v>0.12</v>
      </c>
      <c r="AS135">
        <v>0</v>
      </c>
      <c r="AT135">
        <v>95</v>
      </c>
      <c r="AU135">
        <v>65</v>
      </c>
      <c r="AV135">
        <v>1</v>
      </c>
      <c r="AW135">
        <v>1</v>
      </c>
      <c r="AZ135">
        <v>6.13</v>
      </c>
      <c r="BA135">
        <v>6.13</v>
      </c>
      <c r="BB135">
        <v>6.13</v>
      </c>
      <c r="BC135">
        <v>6.13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2</v>
      </c>
      <c r="BJ135" t="s">
        <v>385</v>
      </c>
      <c r="BM135">
        <v>108001</v>
      </c>
      <c r="BN135">
        <v>0</v>
      </c>
      <c r="BO135" t="s">
        <v>3</v>
      </c>
      <c r="BP135">
        <v>0</v>
      </c>
      <c r="BQ135">
        <v>3</v>
      </c>
      <c r="BR135">
        <v>0</v>
      </c>
      <c r="BS135">
        <v>6.13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95</v>
      </c>
      <c r="CA135">
        <v>65</v>
      </c>
      <c r="CF135">
        <v>0</v>
      </c>
      <c r="CG135">
        <v>0</v>
      </c>
      <c r="CM135">
        <v>0</v>
      </c>
      <c r="CN135" t="s">
        <v>370</v>
      </c>
      <c r="CO135">
        <v>0</v>
      </c>
      <c r="CP135">
        <f t="shared" si="157"/>
        <v>460.61</v>
      </c>
      <c r="CQ135">
        <f t="shared" si="158"/>
        <v>223.3159</v>
      </c>
      <c r="CR135">
        <f t="shared" si="159"/>
        <v>78.402699999999996</v>
      </c>
      <c r="CS135">
        <f t="shared" si="160"/>
        <v>11.0953</v>
      </c>
      <c r="CT135">
        <f t="shared" si="161"/>
        <v>619.49779999999998</v>
      </c>
      <c r="CU135">
        <f t="shared" si="162"/>
        <v>0</v>
      </c>
      <c r="CV135">
        <f t="shared" si="163"/>
        <v>10.752000000000001</v>
      </c>
      <c r="CW135">
        <f t="shared" si="164"/>
        <v>0.14399999999999999</v>
      </c>
      <c r="CX135">
        <f t="shared" si="165"/>
        <v>0</v>
      </c>
      <c r="CY135">
        <f t="shared" si="166"/>
        <v>299.53500000000003</v>
      </c>
      <c r="CZ135">
        <f t="shared" si="167"/>
        <v>204.94499999999999</v>
      </c>
      <c r="DC135" t="s">
        <v>3</v>
      </c>
      <c r="DD135" t="s">
        <v>3</v>
      </c>
      <c r="DE135" t="s">
        <v>371</v>
      </c>
      <c r="DF135" t="s">
        <v>371</v>
      </c>
      <c r="DG135" t="s">
        <v>371</v>
      </c>
      <c r="DH135" t="s">
        <v>3</v>
      </c>
      <c r="DI135" t="s">
        <v>371</v>
      </c>
      <c r="DJ135" t="s">
        <v>371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69</v>
      </c>
      <c r="DW135" t="s">
        <v>69</v>
      </c>
      <c r="DX135">
        <v>100</v>
      </c>
      <c r="EE135">
        <v>39174386</v>
      </c>
      <c r="EF135">
        <v>3</v>
      </c>
      <c r="EG135" t="s">
        <v>372</v>
      </c>
      <c r="EH135">
        <v>0</v>
      </c>
      <c r="EI135" t="s">
        <v>3</v>
      </c>
      <c r="EJ135">
        <v>2</v>
      </c>
      <c r="EK135">
        <v>108001</v>
      </c>
      <c r="EL135" t="s">
        <v>373</v>
      </c>
      <c r="EM135" t="s">
        <v>374</v>
      </c>
      <c r="EO135" t="s">
        <v>375</v>
      </c>
      <c r="EQ135">
        <v>0</v>
      </c>
      <c r="ER135">
        <v>131.31</v>
      </c>
      <c r="ES135">
        <v>36.43</v>
      </c>
      <c r="ET135">
        <v>10.66</v>
      </c>
      <c r="EU135">
        <v>1.51</v>
      </c>
      <c r="EV135">
        <v>84.22</v>
      </c>
      <c r="EW135">
        <v>8.9600000000000009</v>
      </c>
      <c r="EX135">
        <v>0.12</v>
      </c>
      <c r="EY135">
        <v>0</v>
      </c>
      <c r="FQ135">
        <v>0</v>
      </c>
      <c r="FR135">
        <f t="shared" si="168"/>
        <v>0</v>
      </c>
      <c r="FS135">
        <v>0</v>
      </c>
      <c r="FX135">
        <v>95</v>
      </c>
      <c r="FY135">
        <v>65</v>
      </c>
      <c r="GA135" t="s">
        <v>3</v>
      </c>
      <c r="GD135">
        <v>0</v>
      </c>
      <c r="GF135">
        <v>2104607410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69"/>
        <v>0</v>
      </c>
      <c r="GM135">
        <f t="shared" si="170"/>
        <v>965.1</v>
      </c>
      <c r="GN135">
        <f t="shared" si="171"/>
        <v>0</v>
      </c>
      <c r="GO135">
        <f t="shared" si="172"/>
        <v>965.1</v>
      </c>
      <c r="GP135">
        <f t="shared" si="173"/>
        <v>0</v>
      </c>
      <c r="GR135">
        <v>0</v>
      </c>
      <c r="GS135">
        <v>3</v>
      </c>
      <c r="GT135">
        <v>0</v>
      </c>
      <c r="GU135" t="s">
        <v>3</v>
      </c>
      <c r="GV135">
        <f t="shared" si="174"/>
        <v>0</v>
      </c>
      <c r="GW135">
        <v>1</v>
      </c>
      <c r="GX135">
        <f t="shared" si="175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290</v>
      </c>
      <c r="E136" t="s">
        <v>386</v>
      </c>
      <c r="F136" t="s">
        <v>387</v>
      </c>
      <c r="G136" t="s">
        <v>388</v>
      </c>
      <c r="H136" t="s">
        <v>379</v>
      </c>
      <c r="I136">
        <f>I135*J136</f>
        <v>0.05</v>
      </c>
      <c r="J136">
        <v>0.1</v>
      </c>
      <c r="O136">
        <f t="shared" si="142"/>
        <v>5531.67</v>
      </c>
      <c r="P136">
        <f t="shared" si="143"/>
        <v>5531.67</v>
      </c>
      <c r="Q136">
        <f t="shared" si="144"/>
        <v>0</v>
      </c>
      <c r="R136">
        <f t="shared" si="145"/>
        <v>0</v>
      </c>
      <c r="S136">
        <f t="shared" si="146"/>
        <v>0</v>
      </c>
      <c r="T136">
        <f t="shared" si="147"/>
        <v>0</v>
      </c>
      <c r="U136">
        <f t="shared" si="148"/>
        <v>0</v>
      </c>
      <c r="V136">
        <f t="shared" si="149"/>
        <v>0</v>
      </c>
      <c r="W136">
        <f t="shared" si="150"/>
        <v>0</v>
      </c>
      <c r="X136">
        <f t="shared" si="151"/>
        <v>0</v>
      </c>
      <c r="Y136">
        <f t="shared" si="152"/>
        <v>0</v>
      </c>
      <c r="AA136">
        <v>39476960</v>
      </c>
      <c r="AB136">
        <f t="shared" si="153"/>
        <v>18047.849999999999</v>
      </c>
      <c r="AC136">
        <f t="shared" si="154"/>
        <v>18047.849999999999</v>
      </c>
      <c r="AD136">
        <f>ROUND((((ET136)-(EU136))+AE136),2)</f>
        <v>0</v>
      </c>
      <c r="AE136">
        <f>ROUND((EU136),2)</f>
        <v>0</v>
      </c>
      <c r="AF136">
        <f>ROUND((EV136),2)</f>
        <v>0</v>
      </c>
      <c r="AG136">
        <f t="shared" si="155"/>
        <v>0</v>
      </c>
      <c r="AH136">
        <f>(EW136)</f>
        <v>0</v>
      </c>
      <c r="AI136">
        <f>(EX136)</f>
        <v>0</v>
      </c>
      <c r="AJ136">
        <f t="shared" si="156"/>
        <v>0</v>
      </c>
      <c r="AK136">
        <v>18047.849999999999</v>
      </c>
      <c r="AL136">
        <v>18047.849999999999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95</v>
      </c>
      <c r="AU136">
        <v>65</v>
      </c>
      <c r="AV136">
        <v>1</v>
      </c>
      <c r="AW136">
        <v>1</v>
      </c>
      <c r="AZ136">
        <v>6.13</v>
      </c>
      <c r="BA136">
        <v>1</v>
      </c>
      <c r="BB136">
        <v>1</v>
      </c>
      <c r="BC136">
        <v>6.13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2</v>
      </c>
      <c r="BJ136" t="s">
        <v>389</v>
      </c>
      <c r="BM136">
        <v>108001</v>
      </c>
      <c r="BN136">
        <v>0</v>
      </c>
      <c r="BO136" t="s">
        <v>3</v>
      </c>
      <c r="BP136">
        <v>0</v>
      </c>
      <c r="BQ136">
        <v>3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95</v>
      </c>
      <c r="CA136">
        <v>65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57"/>
        <v>5531.67</v>
      </c>
      <c r="CQ136">
        <f t="shared" si="158"/>
        <v>110633.32049999999</v>
      </c>
      <c r="CR136">
        <f t="shared" si="159"/>
        <v>0</v>
      </c>
      <c r="CS136">
        <f t="shared" si="160"/>
        <v>0</v>
      </c>
      <c r="CT136">
        <f t="shared" si="161"/>
        <v>0</v>
      </c>
      <c r="CU136">
        <f t="shared" si="162"/>
        <v>0</v>
      </c>
      <c r="CV136">
        <f t="shared" si="163"/>
        <v>0</v>
      </c>
      <c r="CW136">
        <f t="shared" si="164"/>
        <v>0</v>
      </c>
      <c r="CX136">
        <f t="shared" si="165"/>
        <v>0</v>
      </c>
      <c r="CY136">
        <f t="shared" si="166"/>
        <v>0</v>
      </c>
      <c r="CZ136">
        <f t="shared" si="167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1013</v>
      </c>
      <c r="DV136" t="s">
        <v>379</v>
      </c>
      <c r="DW136" t="s">
        <v>381</v>
      </c>
      <c r="DX136">
        <v>1</v>
      </c>
      <c r="EE136">
        <v>39174386</v>
      </c>
      <c r="EF136">
        <v>3</v>
      </c>
      <c r="EG136" t="s">
        <v>372</v>
      </c>
      <c r="EH136">
        <v>0</v>
      </c>
      <c r="EI136" t="s">
        <v>3</v>
      </c>
      <c r="EJ136">
        <v>2</v>
      </c>
      <c r="EK136">
        <v>108001</v>
      </c>
      <c r="EL136" t="s">
        <v>373</v>
      </c>
      <c r="EM136" t="s">
        <v>374</v>
      </c>
      <c r="EO136" t="s">
        <v>3</v>
      </c>
      <c r="EQ136">
        <v>0</v>
      </c>
      <c r="ER136">
        <v>18047.849999999999</v>
      </c>
      <c r="ES136">
        <v>18047.849999999999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68"/>
        <v>0</v>
      </c>
      <c r="FS136">
        <v>0</v>
      </c>
      <c r="FX136">
        <v>95</v>
      </c>
      <c r="FY136">
        <v>65</v>
      </c>
      <c r="GA136" t="s">
        <v>3</v>
      </c>
      <c r="GD136">
        <v>0</v>
      </c>
      <c r="GF136">
        <v>-1909897882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69"/>
        <v>0</v>
      </c>
      <c r="GM136">
        <f t="shared" si="170"/>
        <v>5531.67</v>
      </c>
      <c r="GN136">
        <f t="shared" si="171"/>
        <v>0</v>
      </c>
      <c r="GO136">
        <f t="shared" si="172"/>
        <v>5531.67</v>
      </c>
      <c r="GP136">
        <f t="shared" si="173"/>
        <v>0</v>
      </c>
      <c r="GR136">
        <v>0</v>
      </c>
      <c r="GS136">
        <v>3</v>
      </c>
      <c r="GT136">
        <v>0</v>
      </c>
      <c r="GU136" t="s">
        <v>3</v>
      </c>
      <c r="GV136">
        <f t="shared" si="174"/>
        <v>0</v>
      </c>
      <c r="GW136">
        <v>1</v>
      </c>
      <c r="GX136">
        <f t="shared" si="175"/>
        <v>0</v>
      </c>
      <c r="HA136">
        <v>0</v>
      </c>
      <c r="HB136">
        <v>0</v>
      </c>
      <c r="IK136">
        <v>0</v>
      </c>
    </row>
    <row r="137" spans="1:245" x14ac:dyDescent="0.2">
      <c r="A137">
        <v>17</v>
      </c>
      <c r="B137">
        <v>1</v>
      </c>
      <c r="C137">
        <f>ROW(SmtRes!A300)</f>
        <v>300</v>
      </c>
      <c r="D137">
        <f>ROW(EtalonRes!A283)</f>
        <v>283</v>
      </c>
      <c r="E137" t="s">
        <v>390</v>
      </c>
      <c r="F137" t="s">
        <v>391</v>
      </c>
      <c r="G137" t="s">
        <v>392</v>
      </c>
      <c r="H137" t="s">
        <v>69</v>
      </c>
      <c r="I137">
        <f>ROUND(74/100,9)</f>
        <v>0.74</v>
      </c>
      <c r="J137">
        <v>0</v>
      </c>
      <c r="O137">
        <f t="shared" si="142"/>
        <v>1049.95</v>
      </c>
      <c r="P137">
        <f t="shared" si="143"/>
        <v>186.35</v>
      </c>
      <c r="Q137">
        <f t="shared" si="144"/>
        <v>19.32</v>
      </c>
      <c r="R137">
        <f t="shared" si="145"/>
        <v>2.72</v>
      </c>
      <c r="S137">
        <f t="shared" si="146"/>
        <v>844.28</v>
      </c>
      <c r="T137">
        <f t="shared" si="147"/>
        <v>0</v>
      </c>
      <c r="U137">
        <f t="shared" si="148"/>
        <v>14.652000000000001</v>
      </c>
      <c r="V137">
        <f t="shared" si="149"/>
        <v>3.5520000000000003E-2</v>
      </c>
      <c r="W137">
        <f t="shared" si="150"/>
        <v>0</v>
      </c>
      <c r="X137">
        <f t="shared" si="151"/>
        <v>804.65</v>
      </c>
      <c r="Y137">
        <f t="shared" si="152"/>
        <v>550.54999999999995</v>
      </c>
      <c r="AA137">
        <v>39476960</v>
      </c>
      <c r="AB137">
        <f t="shared" si="153"/>
        <v>231.46</v>
      </c>
      <c r="AC137">
        <f t="shared" si="154"/>
        <v>41.08</v>
      </c>
      <c r="AD137">
        <f>ROUND(((((ET137*1.2))-((EU137*1.2)))+AE137),2)</f>
        <v>4.26</v>
      </c>
      <c r="AE137">
        <f>ROUND(((EU137*1.2)),2)</f>
        <v>0.6</v>
      </c>
      <c r="AF137">
        <f>ROUND(((EV137*1.2)),2)</f>
        <v>186.12</v>
      </c>
      <c r="AG137">
        <f t="shared" si="155"/>
        <v>0</v>
      </c>
      <c r="AH137">
        <f>((EW137*1.2))</f>
        <v>19.8</v>
      </c>
      <c r="AI137">
        <f>((EX137*1.2))</f>
        <v>4.8000000000000001E-2</v>
      </c>
      <c r="AJ137">
        <f t="shared" si="156"/>
        <v>0</v>
      </c>
      <c r="AK137">
        <v>199.73</v>
      </c>
      <c r="AL137">
        <v>41.08</v>
      </c>
      <c r="AM137">
        <v>3.55</v>
      </c>
      <c r="AN137">
        <v>0.5</v>
      </c>
      <c r="AO137">
        <v>155.1</v>
      </c>
      <c r="AP137">
        <v>0</v>
      </c>
      <c r="AQ137">
        <v>16.5</v>
      </c>
      <c r="AR137">
        <v>0.04</v>
      </c>
      <c r="AS137">
        <v>0</v>
      </c>
      <c r="AT137">
        <v>95</v>
      </c>
      <c r="AU137">
        <v>65</v>
      </c>
      <c r="AV137">
        <v>1</v>
      </c>
      <c r="AW137">
        <v>1</v>
      </c>
      <c r="AZ137">
        <v>6.13</v>
      </c>
      <c r="BA137">
        <v>6.13</v>
      </c>
      <c r="BB137">
        <v>6.13</v>
      </c>
      <c r="BC137">
        <v>6.13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2</v>
      </c>
      <c r="BJ137" t="s">
        <v>393</v>
      </c>
      <c r="BM137">
        <v>108001</v>
      </c>
      <c r="BN137">
        <v>0</v>
      </c>
      <c r="BO137" t="s">
        <v>3</v>
      </c>
      <c r="BP137">
        <v>0</v>
      </c>
      <c r="BQ137">
        <v>3</v>
      </c>
      <c r="BR137">
        <v>0</v>
      </c>
      <c r="BS137">
        <v>6.13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95</v>
      </c>
      <c r="CA137">
        <v>65</v>
      </c>
      <c r="CF137">
        <v>0</v>
      </c>
      <c r="CG137">
        <v>0</v>
      </c>
      <c r="CM137">
        <v>0</v>
      </c>
      <c r="CN137" t="s">
        <v>370</v>
      </c>
      <c r="CO137">
        <v>0</v>
      </c>
      <c r="CP137">
        <f t="shared" si="157"/>
        <v>1049.95</v>
      </c>
      <c r="CQ137">
        <f t="shared" si="158"/>
        <v>251.82039999999998</v>
      </c>
      <c r="CR137">
        <f t="shared" si="159"/>
        <v>26.113799999999998</v>
      </c>
      <c r="CS137">
        <f t="shared" si="160"/>
        <v>3.6779999999999999</v>
      </c>
      <c r="CT137">
        <f t="shared" si="161"/>
        <v>1140.9156</v>
      </c>
      <c r="CU137">
        <f t="shared" si="162"/>
        <v>0</v>
      </c>
      <c r="CV137">
        <f t="shared" si="163"/>
        <v>19.8</v>
      </c>
      <c r="CW137">
        <f t="shared" si="164"/>
        <v>4.8000000000000001E-2</v>
      </c>
      <c r="CX137">
        <f t="shared" si="165"/>
        <v>0</v>
      </c>
      <c r="CY137">
        <f t="shared" si="166"/>
        <v>804.65</v>
      </c>
      <c r="CZ137">
        <f t="shared" si="167"/>
        <v>550.54999999999995</v>
      </c>
      <c r="DC137" t="s">
        <v>3</v>
      </c>
      <c r="DD137" t="s">
        <v>3</v>
      </c>
      <c r="DE137" t="s">
        <v>371</v>
      </c>
      <c r="DF137" t="s">
        <v>371</v>
      </c>
      <c r="DG137" t="s">
        <v>371</v>
      </c>
      <c r="DH137" t="s">
        <v>3</v>
      </c>
      <c r="DI137" t="s">
        <v>371</v>
      </c>
      <c r="DJ137" t="s">
        <v>371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69</v>
      </c>
      <c r="DW137" t="s">
        <v>69</v>
      </c>
      <c r="DX137">
        <v>100</v>
      </c>
      <c r="EE137">
        <v>39174386</v>
      </c>
      <c r="EF137">
        <v>3</v>
      </c>
      <c r="EG137" t="s">
        <v>372</v>
      </c>
      <c r="EH137">
        <v>0</v>
      </c>
      <c r="EI137" t="s">
        <v>3</v>
      </c>
      <c r="EJ137">
        <v>2</v>
      </c>
      <c r="EK137">
        <v>108001</v>
      </c>
      <c r="EL137" t="s">
        <v>373</v>
      </c>
      <c r="EM137" t="s">
        <v>374</v>
      </c>
      <c r="EO137" t="s">
        <v>375</v>
      </c>
      <c r="EQ137">
        <v>0</v>
      </c>
      <c r="ER137">
        <v>199.73</v>
      </c>
      <c r="ES137">
        <v>41.08</v>
      </c>
      <c r="ET137">
        <v>3.55</v>
      </c>
      <c r="EU137">
        <v>0.5</v>
      </c>
      <c r="EV137">
        <v>155.1</v>
      </c>
      <c r="EW137">
        <v>16.5</v>
      </c>
      <c r="EX137">
        <v>0.04</v>
      </c>
      <c r="EY137">
        <v>0</v>
      </c>
      <c r="FQ137">
        <v>0</v>
      </c>
      <c r="FR137">
        <f t="shared" si="168"/>
        <v>0</v>
      </c>
      <c r="FS137">
        <v>0</v>
      </c>
      <c r="FX137">
        <v>95</v>
      </c>
      <c r="FY137">
        <v>65</v>
      </c>
      <c r="GA137" t="s">
        <v>3</v>
      </c>
      <c r="GD137">
        <v>0</v>
      </c>
      <c r="GF137">
        <v>133213188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69"/>
        <v>0</v>
      </c>
      <c r="GM137">
        <f t="shared" si="170"/>
        <v>2405.15</v>
      </c>
      <c r="GN137">
        <f t="shared" si="171"/>
        <v>0</v>
      </c>
      <c r="GO137">
        <f t="shared" si="172"/>
        <v>2405.15</v>
      </c>
      <c r="GP137">
        <f t="shared" si="173"/>
        <v>0</v>
      </c>
      <c r="GR137">
        <v>0</v>
      </c>
      <c r="GS137">
        <v>3</v>
      </c>
      <c r="GT137">
        <v>0</v>
      </c>
      <c r="GU137" t="s">
        <v>3</v>
      </c>
      <c r="GV137">
        <f t="shared" si="174"/>
        <v>0</v>
      </c>
      <c r="GW137">
        <v>1</v>
      </c>
      <c r="GX137">
        <f t="shared" si="175"/>
        <v>0</v>
      </c>
      <c r="HA137">
        <v>0</v>
      </c>
      <c r="HB137">
        <v>0</v>
      </c>
      <c r="IK137">
        <v>0</v>
      </c>
    </row>
    <row r="138" spans="1:245" x14ac:dyDescent="0.2">
      <c r="A138">
        <v>18</v>
      </c>
      <c r="B138">
        <v>1</v>
      </c>
      <c r="C138">
        <v>298</v>
      </c>
      <c r="E138" t="s">
        <v>394</v>
      </c>
      <c r="F138" t="s">
        <v>387</v>
      </c>
      <c r="G138" t="s">
        <v>388</v>
      </c>
      <c r="H138" t="s">
        <v>379</v>
      </c>
      <c r="I138">
        <f>I137*J138</f>
        <v>7.3999999999999996E-2</v>
      </c>
      <c r="J138">
        <v>9.9999999999999992E-2</v>
      </c>
      <c r="O138">
        <f t="shared" si="142"/>
        <v>8186.87</v>
      </c>
      <c r="P138">
        <f t="shared" si="143"/>
        <v>8186.87</v>
      </c>
      <c r="Q138">
        <f t="shared" si="144"/>
        <v>0</v>
      </c>
      <c r="R138">
        <f t="shared" si="145"/>
        <v>0</v>
      </c>
      <c r="S138">
        <f t="shared" si="146"/>
        <v>0</v>
      </c>
      <c r="T138">
        <f t="shared" si="147"/>
        <v>0</v>
      </c>
      <c r="U138">
        <f t="shared" si="148"/>
        <v>0</v>
      </c>
      <c r="V138">
        <f t="shared" si="149"/>
        <v>0</v>
      </c>
      <c r="W138">
        <f t="shared" si="150"/>
        <v>0</v>
      </c>
      <c r="X138">
        <f t="shared" si="151"/>
        <v>0</v>
      </c>
      <c r="Y138">
        <f t="shared" si="152"/>
        <v>0</v>
      </c>
      <c r="AA138">
        <v>39476960</v>
      </c>
      <c r="AB138">
        <f t="shared" si="153"/>
        <v>18047.849999999999</v>
      </c>
      <c r="AC138">
        <f t="shared" si="154"/>
        <v>18047.849999999999</v>
      </c>
      <c r="AD138">
        <f>ROUND((((ET138)-(EU138))+AE138),2)</f>
        <v>0</v>
      </c>
      <c r="AE138">
        <f>ROUND((EU138),2)</f>
        <v>0</v>
      </c>
      <c r="AF138">
        <f>ROUND((EV138),2)</f>
        <v>0</v>
      </c>
      <c r="AG138">
        <f t="shared" si="155"/>
        <v>0</v>
      </c>
      <c r="AH138">
        <f>(EW138)</f>
        <v>0</v>
      </c>
      <c r="AI138">
        <f>(EX138)</f>
        <v>0</v>
      </c>
      <c r="AJ138">
        <f t="shared" si="156"/>
        <v>0</v>
      </c>
      <c r="AK138">
        <v>18047.849999999999</v>
      </c>
      <c r="AL138">
        <v>18047.849999999999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95</v>
      </c>
      <c r="AU138">
        <v>65</v>
      </c>
      <c r="AV138">
        <v>1</v>
      </c>
      <c r="AW138">
        <v>1</v>
      </c>
      <c r="AZ138">
        <v>6.13</v>
      </c>
      <c r="BA138">
        <v>1</v>
      </c>
      <c r="BB138">
        <v>1</v>
      </c>
      <c r="BC138">
        <v>6.13</v>
      </c>
      <c r="BD138" t="s">
        <v>3</v>
      </c>
      <c r="BE138" t="s">
        <v>3</v>
      </c>
      <c r="BF138" t="s">
        <v>3</v>
      </c>
      <c r="BG138" t="s">
        <v>3</v>
      </c>
      <c r="BH138">
        <v>3</v>
      </c>
      <c r="BI138">
        <v>2</v>
      </c>
      <c r="BJ138" t="s">
        <v>389</v>
      </c>
      <c r="BM138">
        <v>108001</v>
      </c>
      <c r="BN138">
        <v>0</v>
      </c>
      <c r="BO138" t="s">
        <v>3</v>
      </c>
      <c r="BP138">
        <v>0</v>
      </c>
      <c r="BQ138">
        <v>3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95</v>
      </c>
      <c r="CA138">
        <v>65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57"/>
        <v>8186.87</v>
      </c>
      <c r="CQ138">
        <f t="shared" si="158"/>
        <v>110633.32049999999</v>
      </c>
      <c r="CR138">
        <f t="shared" si="159"/>
        <v>0</v>
      </c>
      <c r="CS138">
        <f t="shared" si="160"/>
        <v>0</v>
      </c>
      <c r="CT138">
        <f t="shared" si="161"/>
        <v>0</v>
      </c>
      <c r="CU138">
        <f t="shared" si="162"/>
        <v>0</v>
      </c>
      <c r="CV138">
        <f t="shared" si="163"/>
        <v>0</v>
      </c>
      <c r="CW138">
        <f t="shared" si="164"/>
        <v>0</v>
      </c>
      <c r="CX138">
        <f t="shared" si="165"/>
        <v>0</v>
      </c>
      <c r="CY138">
        <f t="shared" si="166"/>
        <v>0</v>
      </c>
      <c r="CZ138">
        <f t="shared" si="167"/>
        <v>0</v>
      </c>
      <c r="DC138" t="s">
        <v>3</v>
      </c>
      <c r="DD138" t="s">
        <v>3</v>
      </c>
      <c r="DE138" t="s">
        <v>3</v>
      </c>
      <c r="DF138" t="s">
        <v>3</v>
      </c>
      <c r="DG138" t="s">
        <v>3</v>
      </c>
      <c r="DH138" t="s">
        <v>3</v>
      </c>
      <c r="DI138" t="s">
        <v>3</v>
      </c>
      <c r="DJ138" t="s">
        <v>3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1013</v>
      </c>
      <c r="DV138" t="s">
        <v>379</v>
      </c>
      <c r="DW138" t="s">
        <v>381</v>
      </c>
      <c r="DX138">
        <v>1</v>
      </c>
      <c r="EE138">
        <v>39174386</v>
      </c>
      <c r="EF138">
        <v>3</v>
      </c>
      <c r="EG138" t="s">
        <v>372</v>
      </c>
      <c r="EH138">
        <v>0</v>
      </c>
      <c r="EI138" t="s">
        <v>3</v>
      </c>
      <c r="EJ138">
        <v>2</v>
      </c>
      <c r="EK138">
        <v>108001</v>
      </c>
      <c r="EL138" t="s">
        <v>373</v>
      </c>
      <c r="EM138" t="s">
        <v>374</v>
      </c>
      <c r="EO138" t="s">
        <v>3</v>
      </c>
      <c r="EQ138">
        <v>0</v>
      </c>
      <c r="ER138">
        <v>18047.849999999999</v>
      </c>
      <c r="ES138">
        <v>18047.849999999999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68"/>
        <v>0</v>
      </c>
      <c r="FS138">
        <v>0</v>
      </c>
      <c r="FX138">
        <v>95</v>
      </c>
      <c r="FY138">
        <v>65</v>
      </c>
      <c r="GA138" t="s">
        <v>3</v>
      </c>
      <c r="GD138">
        <v>0</v>
      </c>
      <c r="GF138">
        <v>-1909897882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69"/>
        <v>0</v>
      </c>
      <c r="GM138">
        <f t="shared" si="170"/>
        <v>8186.87</v>
      </c>
      <c r="GN138">
        <f t="shared" si="171"/>
        <v>0</v>
      </c>
      <c r="GO138">
        <f t="shared" si="172"/>
        <v>8186.87</v>
      </c>
      <c r="GP138">
        <f t="shared" si="173"/>
        <v>0</v>
      </c>
      <c r="GR138">
        <v>0</v>
      </c>
      <c r="GS138">
        <v>3</v>
      </c>
      <c r="GT138">
        <v>0</v>
      </c>
      <c r="GU138" t="s">
        <v>3</v>
      </c>
      <c r="GV138">
        <f t="shared" si="174"/>
        <v>0</v>
      </c>
      <c r="GW138">
        <v>1</v>
      </c>
      <c r="GX138">
        <f t="shared" si="175"/>
        <v>0</v>
      </c>
      <c r="HA138">
        <v>0</v>
      </c>
      <c r="HB138">
        <v>0</v>
      </c>
      <c r="IK138">
        <v>0</v>
      </c>
    </row>
    <row r="139" spans="1:245" x14ac:dyDescent="0.2">
      <c r="A139">
        <v>17</v>
      </c>
      <c r="B139">
        <v>1</v>
      </c>
      <c r="C139">
        <f>ROW(SmtRes!A309)</f>
        <v>309</v>
      </c>
      <c r="D139">
        <f>ROW(EtalonRes!A291)</f>
        <v>291</v>
      </c>
      <c r="E139" t="s">
        <v>395</v>
      </c>
      <c r="F139" t="s">
        <v>396</v>
      </c>
      <c r="G139" t="s">
        <v>397</v>
      </c>
      <c r="H139" t="s">
        <v>69</v>
      </c>
      <c r="I139">
        <f>ROUND(96/100,9)</f>
        <v>0.96</v>
      </c>
      <c r="J139">
        <v>0</v>
      </c>
      <c r="O139">
        <f t="shared" si="142"/>
        <v>342.13</v>
      </c>
      <c r="P139">
        <f t="shared" si="143"/>
        <v>80.03</v>
      </c>
      <c r="Q139">
        <f t="shared" si="144"/>
        <v>12.53</v>
      </c>
      <c r="R139">
        <f t="shared" si="145"/>
        <v>1.82</v>
      </c>
      <c r="S139">
        <f t="shared" si="146"/>
        <v>249.57</v>
      </c>
      <c r="T139">
        <f t="shared" si="147"/>
        <v>0</v>
      </c>
      <c r="U139">
        <f t="shared" si="148"/>
        <v>4.3315199999999994</v>
      </c>
      <c r="V139">
        <f t="shared" si="149"/>
        <v>2.3039999999999998E-2</v>
      </c>
      <c r="W139">
        <f t="shared" si="150"/>
        <v>0</v>
      </c>
      <c r="X139">
        <f t="shared" si="151"/>
        <v>238.82</v>
      </c>
      <c r="Y139">
        <f t="shared" si="152"/>
        <v>163.4</v>
      </c>
      <c r="AA139">
        <v>39476960</v>
      </c>
      <c r="AB139">
        <f t="shared" si="153"/>
        <v>58.14</v>
      </c>
      <c r="AC139">
        <f t="shared" si="154"/>
        <v>13.6</v>
      </c>
      <c r="AD139">
        <f>ROUND(((((ET139*1.2))-((EU139*1.2)))+AE139),2)</f>
        <v>2.13</v>
      </c>
      <c r="AE139">
        <f>ROUND(((EU139*1.2)),2)</f>
        <v>0.31</v>
      </c>
      <c r="AF139">
        <f>ROUND(((EV139*1.2)),2)</f>
        <v>42.41</v>
      </c>
      <c r="AG139">
        <f t="shared" si="155"/>
        <v>0</v>
      </c>
      <c r="AH139">
        <f>((EW139*1.2))</f>
        <v>4.5119999999999996</v>
      </c>
      <c r="AI139">
        <f>((EX139*1.2))</f>
        <v>2.4E-2</v>
      </c>
      <c r="AJ139">
        <f t="shared" si="156"/>
        <v>0</v>
      </c>
      <c r="AK139">
        <v>50.72</v>
      </c>
      <c r="AL139">
        <v>13.6</v>
      </c>
      <c r="AM139">
        <v>1.78</v>
      </c>
      <c r="AN139">
        <v>0.26</v>
      </c>
      <c r="AO139">
        <v>35.340000000000003</v>
      </c>
      <c r="AP139">
        <v>0</v>
      </c>
      <c r="AQ139">
        <v>3.76</v>
      </c>
      <c r="AR139">
        <v>0.02</v>
      </c>
      <c r="AS139">
        <v>0</v>
      </c>
      <c r="AT139">
        <v>95</v>
      </c>
      <c r="AU139">
        <v>65</v>
      </c>
      <c r="AV139">
        <v>1</v>
      </c>
      <c r="AW139">
        <v>1</v>
      </c>
      <c r="AZ139">
        <v>6.13</v>
      </c>
      <c r="BA139">
        <v>6.13</v>
      </c>
      <c r="BB139">
        <v>6.13</v>
      </c>
      <c r="BC139">
        <v>6.13</v>
      </c>
      <c r="BD139" t="s">
        <v>3</v>
      </c>
      <c r="BE139" t="s">
        <v>3</v>
      </c>
      <c r="BF139" t="s">
        <v>3</v>
      </c>
      <c r="BG139" t="s">
        <v>3</v>
      </c>
      <c r="BH139">
        <v>0</v>
      </c>
      <c r="BI139">
        <v>2</v>
      </c>
      <c r="BJ139" t="s">
        <v>398</v>
      </c>
      <c r="BM139">
        <v>108001</v>
      </c>
      <c r="BN139">
        <v>0</v>
      </c>
      <c r="BO139" t="s">
        <v>3</v>
      </c>
      <c r="BP139">
        <v>0</v>
      </c>
      <c r="BQ139">
        <v>3</v>
      </c>
      <c r="BR139">
        <v>0</v>
      </c>
      <c r="BS139">
        <v>6.13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95</v>
      </c>
      <c r="CA139">
        <v>65</v>
      </c>
      <c r="CF139">
        <v>0</v>
      </c>
      <c r="CG139">
        <v>0</v>
      </c>
      <c r="CM139">
        <v>0</v>
      </c>
      <c r="CN139" t="s">
        <v>370</v>
      </c>
      <c r="CO139">
        <v>0</v>
      </c>
      <c r="CP139">
        <f t="shared" si="157"/>
        <v>342.13</v>
      </c>
      <c r="CQ139">
        <f t="shared" si="158"/>
        <v>83.367999999999995</v>
      </c>
      <c r="CR139">
        <f t="shared" si="159"/>
        <v>13.056899999999999</v>
      </c>
      <c r="CS139">
        <f t="shared" si="160"/>
        <v>1.9002999999999999</v>
      </c>
      <c r="CT139">
        <f t="shared" si="161"/>
        <v>259.97329999999999</v>
      </c>
      <c r="CU139">
        <f t="shared" si="162"/>
        <v>0</v>
      </c>
      <c r="CV139">
        <f t="shared" si="163"/>
        <v>4.5119999999999996</v>
      </c>
      <c r="CW139">
        <f t="shared" si="164"/>
        <v>2.4E-2</v>
      </c>
      <c r="CX139">
        <f t="shared" si="165"/>
        <v>0</v>
      </c>
      <c r="CY139">
        <f t="shared" si="166"/>
        <v>238.82049999999998</v>
      </c>
      <c r="CZ139">
        <f t="shared" si="167"/>
        <v>163.40349999999998</v>
      </c>
      <c r="DC139" t="s">
        <v>3</v>
      </c>
      <c r="DD139" t="s">
        <v>3</v>
      </c>
      <c r="DE139" t="s">
        <v>371</v>
      </c>
      <c r="DF139" t="s">
        <v>371</v>
      </c>
      <c r="DG139" t="s">
        <v>371</v>
      </c>
      <c r="DH139" t="s">
        <v>3</v>
      </c>
      <c r="DI139" t="s">
        <v>371</v>
      </c>
      <c r="DJ139" t="s">
        <v>371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69</v>
      </c>
      <c r="DW139" t="s">
        <v>69</v>
      </c>
      <c r="DX139">
        <v>100</v>
      </c>
      <c r="EE139">
        <v>39174386</v>
      </c>
      <c r="EF139">
        <v>3</v>
      </c>
      <c r="EG139" t="s">
        <v>372</v>
      </c>
      <c r="EH139">
        <v>0</v>
      </c>
      <c r="EI139" t="s">
        <v>3</v>
      </c>
      <c r="EJ139">
        <v>2</v>
      </c>
      <c r="EK139">
        <v>108001</v>
      </c>
      <c r="EL139" t="s">
        <v>373</v>
      </c>
      <c r="EM139" t="s">
        <v>374</v>
      </c>
      <c r="EO139" t="s">
        <v>375</v>
      </c>
      <c r="EQ139">
        <v>0</v>
      </c>
      <c r="ER139">
        <v>50.72</v>
      </c>
      <c r="ES139">
        <v>13.6</v>
      </c>
      <c r="ET139">
        <v>1.78</v>
      </c>
      <c r="EU139">
        <v>0.26</v>
      </c>
      <c r="EV139">
        <v>35.340000000000003</v>
      </c>
      <c r="EW139">
        <v>3.76</v>
      </c>
      <c r="EX139">
        <v>0.02</v>
      </c>
      <c r="EY139">
        <v>0</v>
      </c>
      <c r="FQ139">
        <v>0</v>
      </c>
      <c r="FR139">
        <f t="shared" si="168"/>
        <v>0</v>
      </c>
      <c r="FS139">
        <v>0</v>
      </c>
      <c r="FX139">
        <v>95</v>
      </c>
      <c r="FY139">
        <v>65</v>
      </c>
      <c r="GA139" t="s">
        <v>3</v>
      </c>
      <c r="GD139">
        <v>0</v>
      </c>
      <c r="GF139">
        <v>1624430005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69"/>
        <v>0</v>
      </c>
      <c r="GM139">
        <f t="shared" si="170"/>
        <v>744.35</v>
      </c>
      <c r="GN139">
        <f t="shared" si="171"/>
        <v>0</v>
      </c>
      <c r="GO139">
        <f t="shared" si="172"/>
        <v>744.35</v>
      </c>
      <c r="GP139">
        <f t="shared" si="173"/>
        <v>0</v>
      </c>
      <c r="GR139">
        <v>0</v>
      </c>
      <c r="GS139">
        <v>3</v>
      </c>
      <c r="GT139">
        <v>0</v>
      </c>
      <c r="GU139" t="s">
        <v>3</v>
      </c>
      <c r="GV139">
        <f t="shared" si="174"/>
        <v>0</v>
      </c>
      <c r="GW139">
        <v>1</v>
      </c>
      <c r="GX139">
        <f t="shared" si="175"/>
        <v>0</v>
      </c>
      <c r="HA139">
        <v>0</v>
      </c>
      <c r="HB139">
        <v>0</v>
      </c>
      <c r="IK139">
        <v>0</v>
      </c>
    </row>
    <row r="140" spans="1:245" x14ac:dyDescent="0.2">
      <c r="A140">
        <v>18</v>
      </c>
      <c r="B140">
        <v>1</v>
      </c>
      <c r="C140">
        <v>308</v>
      </c>
      <c r="E140" t="s">
        <v>399</v>
      </c>
      <c r="F140" t="s">
        <v>387</v>
      </c>
      <c r="G140" t="s">
        <v>388</v>
      </c>
      <c r="H140" t="s">
        <v>379</v>
      </c>
      <c r="I140">
        <f>I139*J140</f>
        <v>9.6000000000000002E-2</v>
      </c>
      <c r="J140">
        <v>0.1</v>
      </c>
      <c r="O140">
        <f t="shared" si="142"/>
        <v>10620.8</v>
      </c>
      <c r="P140">
        <f t="shared" si="143"/>
        <v>10620.8</v>
      </c>
      <c r="Q140">
        <f t="shared" si="144"/>
        <v>0</v>
      </c>
      <c r="R140">
        <f t="shared" si="145"/>
        <v>0</v>
      </c>
      <c r="S140">
        <f t="shared" si="146"/>
        <v>0</v>
      </c>
      <c r="T140">
        <f t="shared" si="147"/>
        <v>0</v>
      </c>
      <c r="U140">
        <f t="shared" si="148"/>
        <v>0</v>
      </c>
      <c r="V140">
        <f t="shared" si="149"/>
        <v>0</v>
      </c>
      <c r="W140">
        <f t="shared" si="150"/>
        <v>0</v>
      </c>
      <c r="X140">
        <f t="shared" si="151"/>
        <v>0</v>
      </c>
      <c r="Y140">
        <f t="shared" si="152"/>
        <v>0</v>
      </c>
      <c r="AA140">
        <v>39476960</v>
      </c>
      <c r="AB140">
        <f t="shared" si="153"/>
        <v>18047.849999999999</v>
      </c>
      <c r="AC140">
        <f t="shared" si="154"/>
        <v>18047.849999999999</v>
      </c>
      <c r="AD140">
        <f>ROUND((((ET140)-(EU140))+AE140),2)</f>
        <v>0</v>
      </c>
      <c r="AE140">
        <f t="shared" ref="AE140:AF142" si="176">ROUND((EU140),2)</f>
        <v>0</v>
      </c>
      <c r="AF140">
        <f t="shared" si="176"/>
        <v>0</v>
      </c>
      <c r="AG140">
        <f t="shared" si="155"/>
        <v>0</v>
      </c>
      <c r="AH140">
        <f t="shared" ref="AH140:AI142" si="177">(EW140)</f>
        <v>0</v>
      </c>
      <c r="AI140">
        <f t="shared" si="177"/>
        <v>0</v>
      </c>
      <c r="AJ140">
        <f t="shared" si="156"/>
        <v>0</v>
      </c>
      <c r="AK140">
        <v>18047.849999999999</v>
      </c>
      <c r="AL140">
        <v>18047.849999999999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95</v>
      </c>
      <c r="AU140">
        <v>65</v>
      </c>
      <c r="AV140">
        <v>1</v>
      </c>
      <c r="AW140">
        <v>1</v>
      </c>
      <c r="AZ140">
        <v>6.13</v>
      </c>
      <c r="BA140">
        <v>1</v>
      </c>
      <c r="BB140">
        <v>1</v>
      </c>
      <c r="BC140">
        <v>6.13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2</v>
      </c>
      <c r="BJ140" t="s">
        <v>389</v>
      </c>
      <c r="BM140">
        <v>108001</v>
      </c>
      <c r="BN140">
        <v>0</v>
      </c>
      <c r="BO140" t="s">
        <v>3</v>
      </c>
      <c r="BP140">
        <v>0</v>
      </c>
      <c r="BQ140">
        <v>3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95</v>
      </c>
      <c r="CA140">
        <v>65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57"/>
        <v>10620.8</v>
      </c>
      <c r="CQ140">
        <f t="shared" si="158"/>
        <v>110633.32049999999</v>
      </c>
      <c r="CR140">
        <f t="shared" si="159"/>
        <v>0</v>
      </c>
      <c r="CS140">
        <f t="shared" si="160"/>
        <v>0</v>
      </c>
      <c r="CT140">
        <f t="shared" si="161"/>
        <v>0</v>
      </c>
      <c r="CU140">
        <f t="shared" si="162"/>
        <v>0</v>
      </c>
      <c r="CV140">
        <f t="shared" si="163"/>
        <v>0</v>
      </c>
      <c r="CW140">
        <f t="shared" si="164"/>
        <v>0</v>
      </c>
      <c r="CX140">
        <f t="shared" si="165"/>
        <v>0</v>
      </c>
      <c r="CY140">
        <f t="shared" si="166"/>
        <v>0</v>
      </c>
      <c r="CZ140">
        <f t="shared" si="167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1013</v>
      </c>
      <c r="DV140" t="s">
        <v>379</v>
      </c>
      <c r="DW140" t="s">
        <v>381</v>
      </c>
      <c r="DX140">
        <v>1</v>
      </c>
      <c r="EE140">
        <v>39174386</v>
      </c>
      <c r="EF140">
        <v>3</v>
      </c>
      <c r="EG140" t="s">
        <v>372</v>
      </c>
      <c r="EH140">
        <v>0</v>
      </c>
      <c r="EI140" t="s">
        <v>3</v>
      </c>
      <c r="EJ140">
        <v>2</v>
      </c>
      <c r="EK140">
        <v>108001</v>
      </c>
      <c r="EL140" t="s">
        <v>373</v>
      </c>
      <c r="EM140" t="s">
        <v>374</v>
      </c>
      <c r="EO140" t="s">
        <v>3</v>
      </c>
      <c r="EQ140">
        <v>0</v>
      </c>
      <c r="ER140">
        <v>18047.849999999999</v>
      </c>
      <c r="ES140">
        <v>18047.849999999999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68"/>
        <v>0</v>
      </c>
      <c r="FS140">
        <v>0</v>
      </c>
      <c r="FX140">
        <v>95</v>
      </c>
      <c r="FY140">
        <v>65</v>
      </c>
      <c r="GA140" t="s">
        <v>3</v>
      </c>
      <c r="GD140">
        <v>0</v>
      </c>
      <c r="GF140">
        <v>-1909897882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69"/>
        <v>0</v>
      </c>
      <c r="GM140">
        <f t="shared" si="170"/>
        <v>10620.8</v>
      </c>
      <c r="GN140">
        <f t="shared" si="171"/>
        <v>0</v>
      </c>
      <c r="GO140">
        <f t="shared" si="172"/>
        <v>10620.8</v>
      </c>
      <c r="GP140">
        <f t="shared" si="173"/>
        <v>0</v>
      </c>
      <c r="GR140">
        <v>0</v>
      </c>
      <c r="GS140">
        <v>3</v>
      </c>
      <c r="GT140">
        <v>0</v>
      </c>
      <c r="GU140" t="s">
        <v>3</v>
      </c>
      <c r="GV140">
        <f t="shared" si="174"/>
        <v>0</v>
      </c>
      <c r="GW140">
        <v>1</v>
      </c>
      <c r="GX140">
        <f t="shared" si="175"/>
        <v>0</v>
      </c>
      <c r="HA140">
        <v>0</v>
      </c>
      <c r="HB140">
        <v>0</v>
      </c>
      <c r="IK140">
        <v>0</v>
      </c>
    </row>
    <row r="141" spans="1:245" x14ac:dyDescent="0.2">
      <c r="A141">
        <v>17</v>
      </c>
      <c r="B141">
        <v>1</v>
      </c>
      <c r="C141">
        <f>ROW(SmtRes!A315)</f>
        <v>315</v>
      </c>
      <c r="D141">
        <f>ROW(EtalonRes!A296)</f>
        <v>296</v>
      </c>
      <c r="E141" t="s">
        <v>400</v>
      </c>
      <c r="F141" t="s">
        <v>401</v>
      </c>
      <c r="G141" t="s">
        <v>402</v>
      </c>
      <c r="H141" t="s">
        <v>403</v>
      </c>
      <c r="I141">
        <v>1.2</v>
      </c>
      <c r="J141">
        <v>0</v>
      </c>
      <c r="O141">
        <f t="shared" si="142"/>
        <v>38.92</v>
      </c>
      <c r="P141">
        <f t="shared" si="143"/>
        <v>3.02</v>
      </c>
      <c r="Q141">
        <f t="shared" si="144"/>
        <v>0</v>
      </c>
      <c r="R141">
        <f t="shared" si="145"/>
        <v>0</v>
      </c>
      <c r="S141">
        <f t="shared" si="146"/>
        <v>35.9</v>
      </c>
      <c r="T141">
        <f t="shared" si="147"/>
        <v>0</v>
      </c>
      <c r="U141">
        <f t="shared" si="148"/>
        <v>0.6</v>
      </c>
      <c r="V141">
        <f t="shared" si="149"/>
        <v>0</v>
      </c>
      <c r="W141">
        <f t="shared" si="150"/>
        <v>0</v>
      </c>
      <c r="X141">
        <f t="shared" si="151"/>
        <v>28.72</v>
      </c>
      <c r="Y141">
        <f t="shared" si="152"/>
        <v>21.54</v>
      </c>
      <c r="AA141">
        <v>39476960</v>
      </c>
      <c r="AB141">
        <f t="shared" si="153"/>
        <v>5.29</v>
      </c>
      <c r="AC141">
        <f t="shared" si="154"/>
        <v>0.41</v>
      </c>
      <c r="AD141">
        <f>ROUND((((ET141)-(EU141))+AE141),2)</f>
        <v>0</v>
      </c>
      <c r="AE141">
        <f t="shared" si="176"/>
        <v>0</v>
      </c>
      <c r="AF141">
        <f t="shared" si="176"/>
        <v>4.88</v>
      </c>
      <c r="AG141">
        <f t="shared" si="155"/>
        <v>0</v>
      </c>
      <c r="AH141">
        <f t="shared" si="177"/>
        <v>0.5</v>
      </c>
      <c r="AI141">
        <f t="shared" si="177"/>
        <v>0</v>
      </c>
      <c r="AJ141">
        <f t="shared" si="156"/>
        <v>0</v>
      </c>
      <c r="AK141">
        <v>5.29</v>
      </c>
      <c r="AL141">
        <v>0.41</v>
      </c>
      <c r="AM141">
        <v>0</v>
      </c>
      <c r="AN141">
        <v>0</v>
      </c>
      <c r="AO141">
        <v>4.88</v>
      </c>
      <c r="AP141">
        <v>0</v>
      </c>
      <c r="AQ141">
        <v>0.5</v>
      </c>
      <c r="AR141">
        <v>0</v>
      </c>
      <c r="AS141">
        <v>0</v>
      </c>
      <c r="AT141">
        <v>80</v>
      </c>
      <c r="AU141">
        <v>60</v>
      </c>
      <c r="AV141">
        <v>1</v>
      </c>
      <c r="AW141">
        <v>1</v>
      </c>
      <c r="AZ141">
        <v>6.13</v>
      </c>
      <c r="BA141">
        <v>6.13</v>
      </c>
      <c r="BB141">
        <v>6.13</v>
      </c>
      <c r="BC141">
        <v>6.13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2</v>
      </c>
      <c r="BJ141" t="s">
        <v>404</v>
      </c>
      <c r="BM141">
        <v>110011</v>
      </c>
      <c r="BN141">
        <v>0</v>
      </c>
      <c r="BO141" t="s">
        <v>3</v>
      </c>
      <c r="BP141">
        <v>0</v>
      </c>
      <c r="BQ141">
        <v>3</v>
      </c>
      <c r="BR141">
        <v>0</v>
      </c>
      <c r="BS141">
        <v>6.13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80</v>
      </c>
      <c r="CA141">
        <v>60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57"/>
        <v>38.92</v>
      </c>
      <c r="CQ141">
        <f t="shared" si="158"/>
        <v>2.5132999999999996</v>
      </c>
      <c r="CR141">
        <f t="shared" si="159"/>
        <v>0</v>
      </c>
      <c r="CS141">
        <f t="shared" si="160"/>
        <v>0</v>
      </c>
      <c r="CT141">
        <f t="shared" si="161"/>
        <v>29.914400000000001</v>
      </c>
      <c r="CU141">
        <f t="shared" si="162"/>
        <v>0</v>
      </c>
      <c r="CV141">
        <f t="shared" si="163"/>
        <v>0.5</v>
      </c>
      <c r="CW141">
        <f t="shared" si="164"/>
        <v>0</v>
      </c>
      <c r="CX141">
        <f t="shared" si="165"/>
        <v>0</v>
      </c>
      <c r="CY141">
        <f t="shared" si="166"/>
        <v>28.72</v>
      </c>
      <c r="CZ141">
        <f t="shared" si="167"/>
        <v>21.54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403</v>
      </c>
      <c r="DW141" t="s">
        <v>403</v>
      </c>
      <c r="DX141">
        <v>1</v>
      </c>
      <c r="EE141">
        <v>39174433</v>
      </c>
      <c r="EF141">
        <v>3</v>
      </c>
      <c r="EG141" t="s">
        <v>372</v>
      </c>
      <c r="EH141">
        <v>0</v>
      </c>
      <c r="EI141" t="s">
        <v>3</v>
      </c>
      <c r="EJ141">
        <v>2</v>
      </c>
      <c r="EK141">
        <v>110011</v>
      </c>
      <c r="EL141" t="s">
        <v>405</v>
      </c>
      <c r="EM141" t="s">
        <v>406</v>
      </c>
      <c r="EO141" t="s">
        <v>3</v>
      </c>
      <c r="EQ141">
        <v>0</v>
      </c>
      <c r="ER141">
        <v>5.29</v>
      </c>
      <c r="ES141">
        <v>0.41</v>
      </c>
      <c r="ET141">
        <v>0</v>
      </c>
      <c r="EU141">
        <v>0</v>
      </c>
      <c r="EV141">
        <v>4.88</v>
      </c>
      <c r="EW141">
        <v>0.5</v>
      </c>
      <c r="EX141">
        <v>0</v>
      </c>
      <c r="EY141">
        <v>0</v>
      </c>
      <c r="FQ141">
        <v>0</v>
      </c>
      <c r="FR141">
        <f t="shared" si="168"/>
        <v>0</v>
      </c>
      <c r="FS141">
        <v>0</v>
      </c>
      <c r="FX141">
        <v>80</v>
      </c>
      <c r="FY141">
        <v>60</v>
      </c>
      <c r="GA141" t="s">
        <v>3</v>
      </c>
      <c r="GD141">
        <v>0</v>
      </c>
      <c r="GF141">
        <v>287023441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69"/>
        <v>0</v>
      </c>
      <c r="GM141">
        <f t="shared" si="170"/>
        <v>89.18</v>
      </c>
      <c r="GN141">
        <f t="shared" si="171"/>
        <v>0</v>
      </c>
      <c r="GO141">
        <f t="shared" si="172"/>
        <v>89.18</v>
      </c>
      <c r="GP141">
        <f t="shared" si="173"/>
        <v>0</v>
      </c>
      <c r="GR141">
        <v>0</v>
      </c>
      <c r="GS141">
        <v>3</v>
      </c>
      <c r="GT141">
        <v>0</v>
      </c>
      <c r="GU141" t="s">
        <v>3</v>
      </c>
      <c r="GV141">
        <f t="shared" si="174"/>
        <v>0</v>
      </c>
      <c r="GW141">
        <v>1</v>
      </c>
      <c r="GX141">
        <f t="shared" si="175"/>
        <v>0</v>
      </c>
      <c r="HA141">
        <v>0</v>
      </c>
      <c r="HB141">
        <v>0</v>
      </c>
      <c r="IK141">
        <v>0</v>
      </c>
    </row>
    <row r="142" spans="1:245" x14ac:dyDescent="0.2">
      <c r="A142">
        <v>18</v>
      </c>
      <c r="B142">
        <v>1</v>
      </c>
      <c r="C142">
        <v>314</v>
      </c>
      <c r="E142" t="s">
        <v>407</v>
      </c>
      <c r="F142" t="s">
        <v>158</v>
      </c>
      <c r="G142" t="s">
        <v>159</v>
      </c>
      <c r="H142" t="s">
        <v>160</v>
      </c>
      <c r="I142">
        <f>I141*J142</f>
        <v>0.12</v>
      </c>
      <c r="J142">
        <v>0.1</v>
      </c>
      <c r="O142">
        <f t="shared" si="142"/>
        <v>25.16</v>
      </c>
      <c r="P142">
        <f t="shared" si="143"/>
        <v>25.16</v>
      </c>
      <c r="Q142">
        <f t="shared" si="144"/>
        <v>0</v>
      </c>
      <c r="R142">
        <f t="shared" si="145"/>
        <v>0</v>
      </c>
      <c r="S142">
        <f t="shared" si="146"/>
        <v>0</v>
      </c>
      <c r="T142">
        <f t="shared" si="147"/>
        <v>0</v>
      </c>
      <c r="U142">
        <f t="shared" si="148"/>
        <v>0</v>
      </c>
      <c r="V142">
        <f t="shared" si="149"/>
        <v>0</v>
      </c>
      <c r="W142">
        <f t="shared" si="150"/>
        <v>0</v>
      </c>
      <c r="X142">
        <f t="shared" si="151"/>
        <v>0</v>
      </c>
      <c r="Y142">
        <f t="shared" si="152"/>
        <v>0</v>
      </c>
      <c r="AA142">
        <v>39476960</v>
      </c>
      <c r="AB142">
        <f t="shared" si="153"/>
        <v>34.200000000000003</v>
      </c>
      <c r="AC142">
        <f t="shared" si="154"/>
        <v>34.200000000000003</v>
      </c>
      <c r="AD142">
        <f>ROUND((((ET142)-(EU142))+AE142),2)</f>
        <v>0</v>
      </c>
      <c r="AE142">
        <f t="shared" si="176"/>
        <v>0</v>
      </c>
      <c r="AF142">
        <f t="shared" si="176"/>
        <v>0</v>
      </c>
      <c r="AG142">
        <f t="shared" si="155"/>
        <v>0</v>
      </c>
      <c r="AH142">
        <f t="shared" si="177"/>
        <v>0</v>
      </c>
      <c r="AI142">
        <f t="shared" si="177"/>
        <v>0</v>
      </c>
      <c r="AJ142">
        <f t="shared" si="156"/>
        <v>0</v>
      </c>
      <c r="AK142">
        <v>34.200000000000003</v>
      </c>
      <c r="AL142">
        <v>34.200000000000003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80</v>
      </c>
      <c r="AU142">
        <v>60</v>
      </c>
      <c r="AV142">
        <v>1</v>
      </c>
      <c r="AW142">
        <v>1</v>
      </c>
      <c r="AZ142">
        <v>6.13</v>
      </c>
      <c r="BA142">
        <v>1</v>
      </c>
      <c r="BB142">
        <v>1</v>
      </c>
      <c r="BC142">
        <v>6.13</v>
      </c>
      <c r="BD142" t="s">
        <v>3</v>
      </c>
      <c r="BE142" t="s">
        <v>3</v>
      </c>
      <c r="BF142" t="s">
        <v>3</v>
      </c>
      <c r="BG142" t="s">
        <v>3</v>
      </c>
      <c r="BH142">
        <v>3</v>
      </c>
      <c r="BI142">
        <v>2</v>
      </c>
      <c r="BJ142" t="s">
        <v>161</v>
      </c>
      <c r="BM142">
        <v>110011</v>
      </c>
      <c r="BN142">
        <v>0</v>
      </c>
      <c r="BO142" t="s">
        <v>3</v>
      </c>
      <c r="BP142">
        <v>0</v>
      </c>
      <c r="BQ142">
        <v>3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80</v>
      </c>
      <c r="CA142">
        <v>60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si="157"/>
        <v>25.16</v>
      </c>
      <c r="CQ142">
        <f t="shared" si="158"/>
        <v>209.64600000000002</v>
      </c>
      <c r="CR142">
        <f t="shared" si="159"/>
        <v>0</v>
      </c>
      <c r="CS142">
        <f t="shared" si="160"/>
        <v>0</v>
      </c>
      <c r="CT142">
        <f t="shared" si="161"/>
        <v>0</v>
      </c>
      <c r="CU142">
        <f t="shared" si="162"/>
        <v>0</v>
      </c>
      <c r="CV142">
        <f t="shared" si="163"/>
        <v>0</v>
      </c>
      <c r="CW142">
        <f t="shared" si="164"/>
        <v>0</v>
      </c>
      <c r="CX142">
        <f t="shared" si="165"/>
        <v>0</v>
      </c>
      <c r="CY142">
        <f t="shared" si="166"/>
        <v>0</v>
      </c>
      <c r="CZ142">
        <f t="shared" si="167"/>
        <v>0</v>
      </c>
      <c r="DC142" t="s">
        <v>3</v>
      </c>
      <c r="DD142" t="s">
        <v>3</v>
      </c>
      <c r="DE142" t="s">
        <v>3</v>
      </c>
      <c r="DF142" t="s">
        <v>3</v>
      </c>
      <c r="DG142" t="s">
        <v>3</v>
      </c>
      <c r="DH142" t="s">
        <v>3</v>
      </c>
      <c r="DI142" t="s">
        <v>3</v>
      </c>
      <c r="DJ142" t="s">
        <v>3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1010</v>
      </c>
      <c r="DV142" t="s">
        <v>160</v>
      </c>
      <c r="DW142" t="s">
        <v>160</v>
      </c>
      <c r="DX142">
        <v>10</v>
      </c>
      <c r="EE142">
        <v>39174433</v>
      </c>
      <c r="EF142">
        <v>3</v>
      </c>
      <c r="EG142" t="s">
        <v>372</v>
      </c>
      <c r="EH142">
        <v>0</v>
      </c>
      <c r="EI142" t="s">
        <v>3</v>
      </c>
      <c r="EJ142">
        <v>2</v>
      </c>
      <c r="EK142">
        <v>110011</v>
      </c>
      <c r="EL142" t="s">
        <v>405</v>
      </c>
      <c r="EM142" t="s">
        <v>406</v>
      </c>
      <c r="EO142" t="s">
        <v>3</v>
      </c>
      <c r="EQ142">
        <v>0</v>
      </c>
      <c r="ER142">
        <v>34.200000000000003</v>
      </c>
      <c r="ES142">
        <v>34.200000000000003</v>
      </c>
      <c r="ET142">
        <v>0</v>
      </c>
      <c r="EU142">
        <v>0</v>
      </c>
      <c r="EV142">
        <v>0</v>
      </c>
      <c r="EW142">
        <v>0</v>
      </c>
      <c r="EX142">
        <v>0</v>
      </c>
      <c r="FQ142">
        <v>0</v>
      </c>
      <c r="FR142">
        <f t="shared" si="168"/>
        <v>0</v>
      </c>
      <c r="FS142">
        <v>0</v>
      </c>
      <c r="FX142">
        <v>80</v>
      </c>
      <c r="FY142">
        <v>60</v>
      </c>
      <c r="GA142" t="s">
        <v>3</v>
      </c>
      <c r="GD142">
        <v>0</v>
      </c>
      <c r="GF142">
        <v>1317278185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69"/>
        <v>0</v>
      </c>
      <c r="GM142">
        <f t="shared" si="170"/>
        <v>25.16</v>
      </c>
      <c r="GN142">
        <f t="shared" si="171"/>
        <v>0</v>
      </c>
      <c r="GO142">
        <f t="shared" si="172"/>
        <v>25.16</v>
      </c>
      <c r="GP142">
        <f t="shared" si="173"/>
        <v>0</v>
      </c>
      <c r="GR142">
        <v>0</v>
      </c>
      <c r="GS142">
        <v>3</v>
      </c>
      <c r="GT142">
        <v>0</v>
      </c>
      <c r="GU142" t="s">
        <v>3</v>
      </c>
      <c r="GV142">
        <f t="shared" si="174"/>
        <v>0</v>
      </c>
      <c r="GW142">
        <v>1</v>
      </c>
      <c r="GX142">
        <f t="shared" si="175"/>
        <v>0</v>
      </c>
      <c r="HA142">
        <v>0</v>
      </c>
      <c r="HB142">
        <v>0</v>
      </c>
      <c r="IK142">
        <v>0</v>
      </c>
    </row>
    <row r="143" spans="1:245" x14ac:dyDescent="0.2">
      <c r="A143">
        <v>17</v>
      </c>
      <c r="B143">
        <v>1</v>
      </c>
      <c r="C143">
        <f>ROW(SmtRes!A325)</f>
        <v>325</v>
      </c>
      <c r="D143">
        <f>ROW(EtalonRes!A304)</f>
        <v>304</v>
      </c>
      <c r="E143" t="s">
        <v>408</v>
      </c>
      <c r="F143" t="s">
        <v>409</v>
      </c>
      <c r="G143" t="s">
        <v>410</v>
      </c>
      <c r="H143" t="s">
        <v>403</v>
      </c>
      <c r="I143">
        <v>4</v>
      </c>
      <c r="J143">
        <v>0</v>
      </c>
      <c r="O143">
        <f t="shared" si="142"/>
        <v>952.85</v>
      </c>
      <c r="P143">
        <f t="shared" si="143"/>
        <v>152.02000000000001</v>
      </c>
      <c r="Q143">
        <f t="shared" si="144"/>
        <v>522.77</v>
      </c>
      <c r="R143">
        <f t="shared" si="145"/>
        <v>73.81</v>
      </c>
      <c r="S143">
        <f t="shared" si="146"/>
        <v>278.06</v>
      </c>
      <c r="T143">
        <f t="shared" si="147"/>
        <v>0</v>
      </c>
      <c r="U143">
        <f t="shared" si="148"/>
        <v>4.32</v>
      </c>
      <c r="V143">
        <f t="shared" si="149"/>
        <v>0.96</v>
      </c>
      <c r="W143">
        <f t="shared" si="150"/>
        <v>0</v>
      </c>
      <c r="X143">
        <f t="shared" si="151"/>
        <v>334.28</v>
      </c>
      <c r="Y143">
        <f t="shared" si="152"/>
        <v>228.72</v>
      </c>
      <c r="AA143">
        <v>39476960</v>
      </c>
      <c r="AB143">
        <f t="shared" si="153"/>
        <v>38.86</v>
      </c>
      <c r="AC143">
        <f t="shared" si="154"/>
        <v>6.2</v>
      </c>
      <c r="AD143">
        <f>ROUND(((((ET143*1.2))-((EU143*1.2)))+AE143),2)</f>
        <v>21.32</v>
      </c>
      <c r="AE143">
        <f>ROUND(((EU143*1.2)),2)</f>
        <v>3.01</v>
      </c>
      <c r="AF143">
        <f>ROUND(((EV143*1.2)),2)</f>
        <v>11.34</v>
      </c>
      <c r="AG143">
        <f t="shared" si="155"/>
        <v>0</v>
      </c>
      <c r="AH143">
        <f>((EW143*1.2))</f>
        <v>1.08</v>
      </c>
      <c r="AI143">
        <f>((EX143*1.2))</f>
        <v>0.24</v>
      </c>
      <c r="AJ143">
        <f t="shared" si="156"/>
        <v>0</v>
      </c>
      <c r="AK143">
        <v>33.42</v>
      </c>
      <c r="AL143">
        <v>6.2</v>
      </c>
      <c r="AM143">
        <v>17.77</v>
      </c>
      <c r="AN143">
        <v>2.5099999999999998</v>
      </c>
      <c r="AO143">
        <v>9.4499999999999993</v>
      </c>
      <c r="AP143">
        <v>0</v>
      </c>
      <c r="AQ143">
        <v>0.9</v>
      </c>
      <c r="AR143">
        <v>0.2</v>
      </c>
      <c r="AS143">
        <v>0</v>
      </c>
      <c r="AT143">
        <v>95</v>
      </c>
      <c r="AU143">
        <v>65</v>
      </c>
      <c r="AV143">
        <v>1</v>
      </c>
      <c r="AW143">
        <v>1</v>
      </c>
      <c r="AZ143">
        <v>6.13</v>
      </c>
      <c r="BA143">
        <v>6.13</v>
      </c>
      <c r="BB143">
        <v>6.13</v>
      </c>
      <c r="BC143">
        <v>6.13</v>
      </c>
      <c r="BD143" t="s">
        <v>3</v>
      </c>
      <c r="BE143" t="s">
        <v>3</v>
      </c>
      <c r="BF143" t="s">
        <v>3</v>
      </c>
      <c r="BG143" t="s">
        <v>3</v>
      </c>
      <c r="BH143">
        <v>0</v>
      </c>
      <c r="BI143">
        <v>2</v>
      </c>
      <c r="BJ143" t="s">
        <v>411</v>
      </c>
      <c r="BM143">
        <v>108001</v>
      </c>
      <c r="BN143">
        <v>0</v>
      </c>
      <c r="BO143" t="s">
        <v>3</v>
      </c>
      <c r="BP143">
        <v>0</v>
      </c>
      <c r="BQ143">
        <v>3</v>
      </c>
      <c r="BR143">
        <v>0</v>
      </c>
      <c r="BS143">
        <v>6.13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95</v>
      </c>
      <c r="CA143">
        <v>65</v>
      </c>
      <c r="CF143">
        <v>0</v>
      </c>
      <c r="CG143">
        <v>0</v>
      </c>
      <c r="CM143">
        <v>0</v>
      </c>
      <c r="CN143" t="s">
        <v>370</v>
      </c>
      <c r="CO143">
        <v>0</v>
      </c>
      <c r="CP143">
        <f t="shared" si="157"/>
        <v>952.84999999999991</v>
      </c>
      <c r="CQ143">
        <f t="shared" si="158"/>
        <v>38.006</v>
      </c>
      <c r="CR143">
        <f t="shared" si="159"/>
        <v>130.69159999999999</v>
      </c>
      <c r="CS143">
        <f t="shared" si="160"/>
        <v>18.4513</v>
      </c>
      <c r="CT143">
        <f t="shared" si="161"/>
        <v>69.514200000000002</v>
      </c>
      <c r="CU143">
        <f t="shared" si="162"/>
        <v>0</v>
      </c>
      <c r="CV143">
        <f t="shared" si="163"/>
        <v>1.08</v>
      </c>
      <c r="CW143">
        <f t="shared" si="164"/>
        <v>0.24</v>
      </c>
      <c r="CX143">
        <f t="shared" si="165"/>
        <v>0</v>
      </c>
      <c r="CY143">
        <f t="shared" si="166"/>
        <v>334.2765</v>
      </c>
      <c r="CZ143">
        <f t="shared" si="167"/>
        <v>228.71549999999999</v>
      </c>
      <c r="DC143" t="s">
        <v>3</v>
      </c>
      <c r="DD143" t="s">
        <v>3</v>
      </c>
      <c r="DE143" t="s">
        <v>371</v>
      </c>
      <c r="DF143" t="s">
        <v>371</v>
      </c>
      <c r="DG143" t="s">
        <v>371</v>
      </c>
      <c r="DH143" t="s">
        <v>3</v>
      </c>
      <c r="DI143" t="s">
        <v>371</v>
      </c>
      <c r="DJ143" t="s">
        <v>371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403</v>
      </c>
      <c r="DW143" t="s">
        <v>403</v>
      </c>
      <c r="DX143">
        <v>1</v>
      </c>
      <c r="EE143">
        <v>39174386</v>
      </c>
      <c r="EF143">
        <v>3</v>
      </c>
      <c r="EG143" t="s">
        <v>372</v>
      </c>
      <c r="EH143">
        <v>0</v>
      </c>
      <c r="EI143" t="s">
        <v>3</v>
      </c>
      <c r="EJ143">
        <v>2</v>
      </c>
      <c r="EK143">
        <v>108001</v>
      </c>
      <c r="EL143" t="s">
        <v>373</v>
      </c>
      <c r="EM143" t="s">
        <v>374</v>
      </c>
      <c r="EO143" t="s">
        <v>375</v>
      </c>
      <c r="EQ143">
        <v>0</v>
      </c>
      <c r="ER143">
        <v>33.42</v>
      </c>
      <c r="ES143">
        <v>6.2</v>
      </c>
      <c r="ET143">
        <v>17.77</v>
      </c>
      <c r="EU143">
        <v>2.5099999999999998</v>
      </c>
      <c r="EV143">
        <v>9.4499999999999993</v>
      </c>
      <c r="EW143">
        <v>0.9</v>
      </c>
      <c r="EX143">
        <v>0.2</v>
      </c>
      <c r="EY143">
        <v>0</v>
      </c>
      <c r="FQ143">
        <v>0</v>
      </c>
      <c r="FR143">
        <f t="shared" si="168"/>
        <v>0</v>
      </c>
      <c r="FS143">
        <v>0</v>
      </c>
      <c r="FX143">
        <v>95</v>
      </c>
      <c r="FY143">
        <v>65</v>
      </c>
      <c r="GA143" t="s">
        <v>3</v>
      </c>
      <c r="GD143">
        <v>0</v>
      </c>
      <c r="GF143">
        <v>-64978218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69"/>
        <v>0</v>
      </c>
      <c r="GM143">
        <f t="shared" si="170"/>
        <v>1515.85</v>
      </c>
      <c r="GN143">
        <f t="shared" si="171"/>
        <v>0</v>
      </c>
      <c r="GO143">
        <f t="shared" si="172"/>
        <v>1515.85</v>
      </c>
      <c r="GP143">
        <f t="shared" si="173"/>
        <v>0</v>
      </c>
      <c r="GR143">
        <v>0</v>
      </c>
      <c r="GS143">
        <v>3</v>
      </c>
      <c r="GT143">
        <v>0</v>
      </c>
      <c r="GU143" t="s">
        <v>3</v>
      </c>
      <c r="GV143">
        <f t="shared" si="174"/>
        <v>0</v>
      </c>
      <c r="GW143">
        <v>1</v>
      </c>
      <c r="GX143">
        <f t="shared" si="175"/>
        <v>0</v>
      </c>
      <c r="HA143">
        <v>0</v>
      </c>
      <c r="HB143">
        <v>0</v>
      </c>
      <c r="IK143">
        <v>0</v>
      </c>
    </row>
    <row r="144" spans="1:245" x14ac:dyDescent="0.2">
      <c r="A144">
        <v>18</v>
      </c>
      <c r="B144">
        <v>1</v>
      </c>
      <c r="C144">
        <v>323</v>
      </c>
      <c r="E144" t="s">
        <v>412</v>
      </c>
      <c r="F144" t="s">
        <v>413</v>
      </c>
      <c r="G144" t="s">
        <v>414</v>
      </c>
      <c r="H144" t="s">
        <v>415</v>
      </c>
      <c r="I144">
        <f>I143*J144</f>
        <v>3</v>
      </c>
      <c r="J144">
        <v>0.75</v>
      </c>
      <c r="O144">
        <f t="shared" si="142"/>
        <v>3331.35</v>
      </c>
      <c r="P144">
        <f t="shared" si="143"/>
        <v>3331.35</v>
      </c>
      <c r="Q144">
        <f t="shared" si="144"/>
        <v>0</v>
      </c>
      <c r="R144">
        <f t="shared" si="145"/>
        <v>0</v>
      </c>
      <c r="S144">
        <f t="shared" si="146"/>
        <v>0</v>
      </c>
      <c r="T144">
        <f t="shared" si="147"/>
        <v>0</v>
      </c>
      <c r="U144">
        <f t="shared" si="148"/>
        <v>0</v>
      </c>
      <c r="V144">
        <f t="shared" si="149"/>
        <v>0</v>
      </c>
      <c r="W144">
        <f t="shared" si="150"/>
        <v>0</v>
      </c>
      <c r="X144">
        <f t="shared" si="151"/>
        <v>0</v>
      </c>
      <c r="Y144">
        <f t="shared" si="152"/>
        <v>0</v>
      </c>
      <c r="AA144">
        <v>39476960</v>
      </c>
      <c r="AB144">
        <f t="shared" si="153"/>
        <v>181.15</v>
      </c>
      <c r="AC144">
        <f t="shared" si="154"/>
        <v>181.15</v>
      </c>
      <c r="AD144">
        <f>ROUND((((ET144)-(EU144))+AE144),2)</f>
        <v>0</v>
      </c>
      <c r="AE144">
        <f>ROUND((EU144),2)</f>
        <v>0</v>
      </c>
      <c r="AF144">
        <f>ROUND((EV144),2)</f>
        <v>0</v>
      </c>
      <c r="AG144">
        <f t="shared" si="155"/>
        <v>0</v>
      </c>
      <c r="AH144">
        <f>(EW144)</f>
        <v>0</v>
      </c>
      <c r="AI144">
        <f>(EX144)</f>
        <v>0</v>
      </c>
      <c r="AJ144">
        <f t="shared" si="156"/>
        <v>0</v>
      </c>
      <c r="AK144">
        <v>181.15</v>
      </c>
      <c r="AL144">
        <v>181.15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95</v>
      </c>
      <c r="AU144">
        <v>65</v>
      </c>
      <c r="AV144">
        <v>1</v>
      </c>
      <c r="AW144">
        <v>1</v>
      </c>
      <c r="AZ144">
        <v>6.13</v>
      </c>
      <c r="BA144">
        <v>1</v>
      </c>
      <c r="BB144">
        <v>1</v>
      </c>
      <c r="BC144">
        <v>6.13</v>
      </c>
      <c r="BD144" t="s">
        <v>3</v>
      </c>
      <c r="BE144" t="s">
        <v>3</v>
      </c>
      <c r="BF144" t="s">
        <v>3</v>
      </c>
      <c r="BG144" t="s">
        <v>3</v>
      </c>
      <c r="BH144">
        <v>3</v>
      </c>
      <c r="BI144">
        <v>2</v>
      </c>
      <c r="BJ144" t="s">
        <v>416</v>
      </c>
      <c r="BM144">
        <v>108001</v>
      </c>
      <c r="BN144">
        <v>0</v>
      </c>
      <c r="BO144" t="s">
        <v>3</v>
      </c>
      <c r="BP144">
        <v>0</v>
      </c>
      <c r="BQ144">
        <v>3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95</v>
      </c>
      <c r="CA144">
        <v>65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 t="shared" si="157"/>
        <v>3331.35</v>
      </c>
      <c r="CQ144">
        <f t="shared" si="158"/>
        <v>1110.4494999999999</v>
      </c>
      <c r="CR144">
        <f t="shared" si="159"/>
        <v>0</v>
      </c>
      <c r="CS144">
        <f t="shared" si="160"/>
        <v>0</v>
      </c>
      <c r="CT144">
        <f t="shared" si="161"/>
        <v>0</v>
      </c>
      <c r="CU144">
        <f t="shared" si="162"/>
        <v>0</v>
      </c>
      <c r="CV144">
        <f t="shared" si="163"/>
        <v>0</v>
      </c>
      <c r="CW144">
        <f t="shared" si="164"/>
        <v>0</v>
      </c>
      <c r="CX144">
        <f t="shared" si="165"/>
        <v>0</v>
      </c>
      <c r="CY144">
        <f t="shared" si="166"/>
        <v>0</v>
      </c>
      <c r="CZ144">
        <f t="shared" si="167"/>
        <v>0</v>
      </c>
      <c r="DC144" t="s">
        <v>3</v>
      </c>
      <c r="DD144" t="s">
        <v>3</v>
      </c>
      <c r="DE144" t="s">
        <v>3</v>
      </c>
      <c r="DF144" t="s">
        <v>3</v>
      </c>
      <c r="DG144" t="s">
        <v>3</v>
      </c>
      <c r="DH144" t="s">
        <v>3</v>
      </c>
      <c r="DI144" t="s">
        <v>3</v>
      </c>
      <c r="DJ144" t="s">
        <v>3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DU144">
        <v>1010</v>
      </c>
      <c r="DV144" t="s">
        <v>415</v>
      </c>
      <c r="DW144" t="s">
        <v>415</v>
      </c>
      <c r="DX144">
        <v>1</v>
      </c>
      <c r="EE144">
        <v>39174386</v>
      </c>
      <c r="EF144">
        <v>3</v>
      </c>
      <c r="EG144" t="s">
        <v>372</v>
      </c>
      <c r="EH144">
        <v>0</v>
      </c>
      <c r="EI144" t="s">
        <v>3</v>
      </c>
      <c r="EJ144">
        <v>2</v>
      </c>
      <c r="EK144">
        <v>108001</v>
      </c>
      <c r="EL144" t="s">
        <v>373</v>
      </c>
      <c r="EM144" t="s">
        <v>374</v>
      </c>
      <c r="EO144" t="s">
        <v>3</v>
      </c>
      <c r="EQ144">
        <v>0</v>
      </c>
      <c r="ER144">
        <v>181.15</v>
      </c>
      <c r="ES144">
        <v>181.15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68"/>
        <v>0</v>
      </c>
      <c r="FS144">
        <v>0</v>
      </c>
      <c r="FX144">
        <v>95</v>
      </c>
      <c r="FY144">
        <v>65</v>
      </c>
      <c r="GA144" t="s">
        <v>3</v>
      </c>
      <c r="GD144">
        <v>0</v>
      </c>
      <c r="GF144">
        <v>-1595811547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69"/>
        <v>0</v>
      </c>
      <c r="GM144">
        <f t="shared" si="170"/>
        <v>3331.35</v>
      </c>
      <c r="GN144">
        <f t="shared" si="171"/>
        <v>0</v>
      </c>
      <c r="GO144">
        <f t="shared" si="172"/>
        <v>3331.35</v>
      </c>
      <c r="GP144">
        <f t="shared" si="173"/>
        <v>0</v>
      </c>
      <c r="GR144">
        <v>0</v>
      </c>
      <c r="GS144">
        <v>3</v>
      </c>
      <c r="GT144">
        <v>0</v>
      </c>
      <c r="GU144" t="s">
        <v>3</v>
      </c>
      <c r="GV144">
        <f t="shared" si="174"/>
        <v>0</v>
      </c>
      <c r="GW144">
        <v>1</v>
      </c>
      <c r="GX144">
        <f t="shared" si="175"/>
        <v>0</v>
      </c>
      <c r="HA144">
        <v>0</v>
      </c>
      <c r="HB144">
        <v>0</v>
      </c>
      <c r="IK144">
        <v>0</v>
      </c>
    </row>
    <row r="145" spans="1:245" x14ac:dyDescent="0.2">
      <c r="A145">
        <v>18</v>
      </c>
      <c r="B145">
        <v>1</v>
      </c>
      <c r="C145">
        <v>324</v>
      </c>
      <c r="E145" t="s">
        <v>417</v>
      </c>
      <c r="F145" t="s">
        <v>418</v>
      </c>
      <c r="G145" t="s">
        <v>419</v>
      </c>
      <c r="H145" t="s">
        <v>415</v>
      </c>
      <c r="I145">
        <f>I143*J145</f>
        <v>1</v>
      </c>
      <c r="J145">
        <v>0.25</v>
      </c>
      <c r="O145">
        <f t="shared" si="142"/>
        <v>1354.24</v>
      </c>
      <c r="P145">
        <f t="shared" si="143"/>
        <v>1354.24</v>
      </c>
      <c r="Q145">
        <f t="shared" si="144"/>
        <v>0</v>
      </c>
      <c r="R145">
        <f t="shared" si="145"/>
        <v>0</v>
      </c>
      <c r="S145">
        <f t="shared" si="146"/>
        <v>0</v>
      </c>
      <c r="T145">
        <f t="shared" si="147"/>
        <v>0</v>
      </c>
      <c r="U145">
        <f t="shared" si="148"/>
        <v>0</v>
      </c>
      <c r="V145">
        <f t="shared" si="149"/>
        <v>0</v>
      </c>
      <c r="W145">
        <f t="shared" si="150"/>
        <v>0</v>
      </c>
      <c r="X145">
        <f t="shared" si="151"/>
        <v>0</v>
      </c>
      <c r="Y145">
        <f t="shared" si="152"/>
        <v>0</v>
      </c>
      <c r="AA145">
        <v>39476960</v>
      </c>
      <c r="AB145">
        <f t="shared" si="153"/>
        <v>220.92</v>
      </c>
      <c r="AC145">
        <f t="shared" si="154"/>
        <v>220.92</v>
      </c>
      <c r="AD145">
        <f>ROUND((((ET145)-(EU145))+AE145),2)</f>
        <v>0</v>
      </c>
      <c r="AE145">
        <f>ROUND((EU145),2)</f>
        <v>0</v>
      </c>
      <c r="AF145">
        <f>ROUND((EV145),2)</f>
        <v>0</v>
      </c>
      <c r="AG145">
        <f t="shared" si="155"/>
        <v>0</v>
      </c>
      <c r="AH145">
        <f>(EW145)</f>
        <v>0</v>
      </c>
      <c r="AI145">
        <f>(EX145)</f>
        <v>0</v>
      </c>
      <c r="AJ145">
        <f t="shared" si="156"/>
        <v>0</v>
      </c>
      <c r="AK145">
        <v>220.92</v>
      </c>
      <c r="AL145">
        <v>220.92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65</v>
      </c>
      <c r="AV145">
        <v>1</v>
      </c>
      <c r="AW145">
        <v>1</v>
      </c>
      <c r="AZ145">
        <v>6.13</v>
      </c>
      <c r="BA145">
        <v>1</v>
      </c>
      <c r="BB145">
        <v>1</v>
      </c>
      <c r="BC145">
        <v>6.13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2</v>
      </c>
      <c r="BJ145" t="s">
        <v>420</v>
      </c>
      <c r="BM145">
        <v>108001</v>
      </c>
      <c r="BN145">
        <v>0</v>
      </c>
      <c r="BO145" t="s">
        <v>3</v>
      </c>
      <c r="BP145">
        <v>0</v>
      </c>
      <c r="BQ145">
        <v>3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95</v>
      </c>
      <c r="CA145">
        <v>65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57"/>
        <v>1354.24</v>
      </c>
      <c r="CQ145">
        <f t="shared" si="158"/>
        <v>1354.2395999999999</v>
      </c>
      <c r="CR145">
        <f t="shared" si="159"/>
        <v>0</v>
      </c>
      <c r="CS145">
        <f t="shared" si="160"/>
        <v>0</v>
      </c>
      <c r="CT145">
        <f t="shared" si="161"/>
        <v>0</v>
      </c>
      <c r="CU145">
        <f t="shared" si="162"/>
        <v>0</v>
      </c>
      <c r="CV145">
        <f t="shared" si="163"/>
        <v>0</v>
      </c>
      <c r="CW145">
        <f t="shared" si="164"/>
        <v>0</v>
      </c>
      <c r="CX145">
        <f t="shared" si="165"/>
        <v>0</v>
      </c>
      <c r="CY145">
        <f t="shared" si="166"/>
        <v>0</v>
      </c>
      <c r="CZ145">
        <f t="shared" si="167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1010</v>
      </c>
      <c r="DV145" t="s">
        <v>415</v>
      </c>
      <c r="DW145" t="s">
        <v>415</v>
      </c>
      <c r="DX145">
        <v>1</v>
      </c>
      <c r="EE145">
        <v>39174386</v>
      </c>
      <c r="EF145">
        <v>3</v>
      </c>
      <c r="EG145" t="s">
        <v>372</v>
      </c>
      <c r="EH145">
        <v>0</v>
      </c>
      <c r="EI145" t="s">
        <v>3</v>
      </c>
      <c r="EJ145">
        <v>2</v>
      </c>
      <c r="EK145">
        <v>108001</v>
      </c>
      <c r="EL145" t="s">
        <v>373</v>
      </c>
      <c r="EM145" t="s">
        <v>374</v>
      </c>
      <c r="EO145" t="s">
        <v>3</v>
      </c>
      <c r="EQ145">
        <v>0</v>
      </c>
      <c r="ER145">
        <v>220.92</v>
      </c>
      <c r="ES145">
        <v>220.92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68"/>
        <v>0</v>
      </c>
      <c r="FS145">
        <v>0</v>
      </c>
      <c r="FX145">
        <v>95</v>
      </c>
      <c r="FY145">
        <v>65</v>
      </c>
      <c r="GA145" t="s">
        <v>3</v>
      </c>
      <c r="GD145">
        <v>0</v>
      </c>
      <c r="GF145">
        <v>1074016231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69"/>
        <v>0</v>
      </c>
      <c r="GM145">
        <f t="shared" si="170"/>
        <v>1354.24</v>
      </c>
      <c r="GN145">
        <f t="shared" si="171"/>
        <v>0</v>
      </c>
      <c r="GO145">
        <f t="shared" si="172"/>
        <v>1354.24</v>
      </c>
      <c r="GP145">
        <f t="shared" si="173"/>
        <v>0</v>
      </c>
      <c r="GR145">
        <v>0</v>
      </c>
      <c r="GS145">
        <v>3</v>
      </c>
      <c r="GT145">
        <v>0</v>
      </c>
      <c r="GU145" t="s">
        <v>3</v>
      </c>
      <c r="GV145">
        <f t="shared" si="174"/>
        <v>0</v>
      </c>
      <c r="GW145">
        <v>1</v>
      </c>
      <c r="GX145">
        <f t="shared" si="175"/>
        <v>0</v>
      </c>
      <c r="HA145">
        <v>0</v>
      </c>
      <c r="HB145">
        <v>0</v>
      </c>
      <c r="IK145">
        <v>0</v>
      </c>
    </row>
    <row r="146" spans="1:245" x14ac:dyDescent="0.2">
      <c r="A146">
        <v>17</v>
      </c>
      <c r="B146">
        <v>1</v>
      </c>
      <c r="C146">
        <f>ROW(SmtRes!A335)</f>
        <v>335</v>
      </c>
      <c r="D146">
        <f>ROW(EtalonRes!A313)</f>
        <v>313</v>
      </c>
      <c r="E146" t="s">
        <v>421</v>
      </c>
      <c r="F146" t="s">
        <v>422</v>
      </c>
      <c r="G146" t="s">
        <v>423</v>
      </c>
      <c r="H146" t="s">
        <v>424</v>
      </c>
      <c r="I146">
        <f>ROUND(12/100,9)</f>
        <v>0.12</v>
      </c>
      <c r="J146">
        <v>0</v>
      </c>
      <c r="O146">
        <f t="shared" si="142"/>
        <v>385.04</v>
      </c>
      <c r="P146">
        <f t="shared" si="143"/>
        <v>78.28</v>
      </c>
      <c r="Q146">
        <f t="shared" si="144"/>
        <v>4.13</v>
      </c>
      <c r="R146">
        <f t="shared" si="145"/>
        <v>0.56999999999999995</v>
      </c>
      <c r="S146">
        <f t="shared" si="146"/>
        <v>302.63</v>
      </c>
      <c r="T146">
        <f t="shared" si="147"/>
        <v>0</v>
      </c>
      <c r="U146">
        <f t="shared" si="148"/>
        <v>4.9766399999999997</v>
      </c>
      <c r="V146">
        <f t="shared" si="149"/>
        <v>7.1999999999999998E-3</v>
      </c>
      <c r="W146">
        <f t="shared" si="150"/>
        <v>0</v>
      </c>
      <c r="X146">
        <f t="shared" si="151"/>
        <v>288.04000000000002</v>
      </c>
      <c r="Y146">
        <f t="shared" si="152"/>
        <v>197.08</v>
      </c>
      <c r="AA146">
        <v>39476960</v>
      </c>
      <c r="AB146">
        <f t="shared" si="153"/>
        <v>523.44000000000005</v>
      </c>
      <c r="AC146">
        <f t="shared" si="154"/>
        <v>106.42</v>
      </c>
      <c r="AD146">
        <f>ROUND(((((ET146*1.2))-((EU146*1.2)))+AE146),2)</f>
        <v>5.61</v>
      </c>
      <c r="AE146">
        <f>ROUND(((EU146*1.2)),2)</f>
        <v>0.77</v>
      </c>
      <c r="AF146">
        <f>ROUND(((EV146*1.2)),2)</f>
        <v>411.41</v>
      </c>
      <c r="AG146">
        <f t="shared" si="155"/>
        <v>0</v>
      </c>
      <c r="AH146">
        <f>((EW146*1.2))</f>
        <v>41.472000000000001</v>
      </c>
      <c r="AI146">
        <f>((EX146*1.2))</f>
        <v>0.06</v>
      </c>
      <c r="AJ146">
        <f t="shared" si="156"/>
        <v>0</v>
      </c>
      <c r="AK146">
        <v>453.93</v>
      </c>
      <c r="AL146">
        <v>106.42</v>
      </c>
      <c r="AM146">
        <v>4.67</v>
      </c>
      <c r="AN146">
        <v>0.64</v>
      </c>
      <c r="AO146">
        <v>342.84</v>
      </c>
      <c r="AP146">
        <v>0</v>
      </c>
      <c r="AQ146">
        <v>34.56</v>
      </c>
      <c r="AR146">
        <v>0.05</v>
      </c>
      <c r="AS146">
        <v>0</v>
      </c>
      <c r="AT146">
        <v>95</v>
      </c>
      <c r="AU146">
        <v>65</v>
      </c>
      <c r="AV146">
        <v>1</v>
      </c>
      <c r="AW146">
        <v>1</v>
      </c>
      <c r="AZ146">
        <v>6.13</v>
      </c>
      <c r="BA146">
        <v>6.13</v>
      </c>
      <c r="BB146">
        <v>6.13</v>
      </c>
      <c r="BC146">
        <v>6.13</v>
      </c>
      <c r="BD146" t="s">
        <v>3</v>
      </c>
      <c r="BE146" t="s">
        <v>3</v>
      </c>
      <c r="BF146" t="s">
        <v>3</v>
      </c>
      <c r="BG146" t="s">
        <v>3</v>
      </c>
      <c r="BH146">
        <v>0</v>
      </c>
      <c r="BI146">
        <v>2</v>
      </c>
      <c r="BJ146" t="s">
        <v>425</v>
      </c>
      <c r="BM146">
        <v>108001</v>
      </c>
      <c r="BN146">
        <v>0</v>
      </c>
      <c r="BO146" t="s">
        <v>3</v>
      </c>
      <c r="BP146">
        <v>0</v>
      </c>
      <c r="BQ146">
        <v>3</v>
      </c>
      <c r="BR146">
        <v>0</v>
      </c>
      <c r="BS146">
        <v>6.13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3</v>
      </c>
      <c r="BZ146">
        <v>95</v>
      </c>
      <c r="CA146">
        <v>65</v>
      </c>
      <c r="CF146">
        <v>0</v>
      </c>
      <c r="CG146">
        <v>0</v>
      </c>
      <c r="CM146">
        <v>0</v>
      </c>
      <c r="CN146" t="s">
        <v>370</v>
      </c>
      <c r="CO146">
        <v>0</v>
      </c>
      <c r="CP146">
        <f t="shared" si="157"/>
        <v>385.03999999999996</v>
      </c>
      <c r="CQ146">
        <f t="shared" si="158"/>
        <v>652.3546</v>
      </c>
      <c r="CR146">
        <f t="shared" si="159"/>
        <v>34.389299999999999</v>
      </c>
      <c r="CS146">
        <f t="shared" si="160"/>
        <v>4.7201000000000004</v>
      </c>
      <c r="CT146">
        <f t="shared" si="161"/>
        <v>2521.9432999999999</v>
      </c>
      <c r="CU146">
        <f t="shared" si="162"/>
        <v>0</v>
      </c>
      <c r="CV146">
        <f t="shared" si="163"/>
        <v>41.472000000000001</v>
      </c>
      <c r="CW146">
        <f t="shared" si="164"/>
        <v>0.06</v>
      </c>
      <c r="CX146">
        <f t="shared" si="165"/>
        <v>0</v>
      </c>
      <c r="CY146">
        <f t="shared" si="166"/>
        <v>288.04000000000002</v>
      </c>
      <c r="CZ146">
        <f t="shared" si="167"/>
        <v>197.08</v>
      </c>
      <c r="DC146" t="s">
        <v>3</v>
      </c>
      <c r="DD146" t="s">
        <v>3</v>
      </c>
      <c r="DE146" t="s">
        <v>371</v>
      </c>
      <c r="DF146" t="s">
        <v>371</v>
      </c>
      <c r="DG146" t="s">
        <v>371</v>
      </c>
      <c r="DH146" t="s">
        <v>3</v>
      </c>
      <c r="DI146" t="s">
        <v>371</v>
      </c>
      <c r="DJ146" t="s">
        <v>371</v>
      </c>
      <c r="DK146" t="s">
        <v>3</v>
      </c>
      <c r="DL146" t="s">
        <v>3</v>
      </c>
      <c r="DM146" t="s">
        <v>3</v>
      </c>
      <c r="DN146">
        <v>0</v>
      </c>
      <c r="DO146">
        <v>0</v>
      </c>
      <c r="DP146">
        <v>1</v>
      </c>
      <c r="DQ146">
        <v>1</v>
      </c>
      <c r="DU146">
        <v>1013</v>
      </c>
      <c r="DV146" t="s">
        <v>424</v>
      </c>
      <c r="DW146" t="s">
        <v>424</v>
      </c>
      <c r="DX146">
        <v>1</v>
      </c>
      <c r="EE146">
        <v>39174386</v>
      </c>
      <c r="EF146">
        <v>3</v>
      </c>
      <c r="EG146" t="s">
        <v>372</v>
      </c>
      <c r="EH146">
        <v>0</v>
      </c>
      <c r="EI146" t="s">
        <v>3</v>
      </c>
      <c r="EJ146">
        <v>2</v>
      </c>
      <c r="EK146">
        <v>108001</v>
      </c>
      <c r="EL146" t="s">
        <v>373</v>
      </c>
      <c r="EM146" t="s">
        <v>374</v>
      </c>
      <c r="EO146" t="s">
        <v>375</v>
      </c>
      <c r="EQ146">
        <v>0</v>
      </c>
      <c r="ER146">
        <v>453.93</v>
      </c>
      <c r="ES146">
        <v>106.42</v>
      </c>
      <c r="ET146">
        <v>4.67</v>
      </c>
      <c r="EU146">
        <v>0.64</v>
      </c>
      <c r="EV146">
        <v>342.84</v>
      </c>
      <c r="EW146">
        <v>34.56</v>
      </c>
      <c r="EX146">
        <v>0.05</v>
      </c>
      <c r="EY146">
        <v>0</v>
      </c>
      <c r="FQ146">
        <v>0</v>
      </c>
      <c r="FR146">
        <f t="shared" si="168"/>
        <v>0</v>
      </c>
      <c r="FS146">
        <v>0</v>
      </c>
      <c r="FX146">
        <v>95</v>
      </c>
      <c r="FY146">
        <v>65</v>
      </c>
      <c r="GA146" t="s">
        <v>3</v>
      </c>
      <c r="GD146">
        <v>0</v>
      </c>
      <c r="GF146">
        <v>1188648583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69"/>
        <v>0</v>
      </c>
      <c r="GM146">
        <f t="shared" si="170"/>
        <v>870.16</v>
      </c>
      <c r="GN146">
        <f t="shared" si="171"/>
        <v>0</v>
      </c>
      <c r="GO146">
        <f t="shared" si="172"/>
        <v>870.16</v>
      </c>
      <c r="GP146">
        <f t="shared" si="173"/>
        <v>0</v>
      </c>
      <c r="GR146">
        <v>0</v>
      </c>
      <c r="GS146">
        <v>3</v>
      </c>
      <c r="GT146">
        <v>0</v>
      </c>
      <c r="GU146" t="s">
        <v>3</v>
      </c>
      <c r="GV146">
        <f t="shared" si="174"/>
        <v>0</v>
      </c>
      <c r="GW146">
        <v>1</v>
      </c>
      <c r="GX146">
        <f t="shared" si="175"/>
        <v>0</v>
      </c>
      <c r="HA146">
        <v>0</v>
      </c>
      <c r="HB146">
        <v>0</v>
      </c>
      <c r="IK146">
        <v>0</v>
      </c>
    </row>
    <row r="147" spans="1:245" x14ac:dyDescent="0.2">
      <c r="A147">
        <v>18</v>
      </c>
      <c r="B147">
        <v>1</v>
      </c>
      <c r="C147">
        <v>334</v>
      </c>
      <c r="E147" t="s">
        <v>426</v>
      </c>
      <c r="F147" t="s">
        <v>427</v>
      </c>
      <c r="G147" t="s">
        <v>428</v>
      </c>
      <c r="H147" t="s">
        <v>429</v>
      </c>
      <c r="I147">
        <f>I146*J147</f>
        <v>0.12</v>
      </c>
      <c r="J147">
        <v>1</v>
      </c>
      <c r="O147">
        <f t="shared" si="142"/>
        <v>1619.79</v>
      </c>
      <c r="P147">
        <f t="shared" si="143"/>
        <v>1619.79</v>
      </c>
      <c r="Q147">
        <f t="shared" si="144"/>
        <v>0</v>
      </c>
      <c r="R147">
        <f t="shared" si="145"/>
        <v>0</v>
      </c>
      <c r="S147">
        <f t="shared" si="146"/>
        <v>0</v>
      </c>
      <c r="T147">
        <f t="shared" si="147"/>
        <v>0</v>
      </c>
      <c r="U147">
        <f t="shared" si="148"/>
        <v>0</v>
      </c>
      <c r="V147">
        <f t="shared" si="149"/>
        <v>0</v>
      </c>
      <c r="W147">
        <f t="shared" si="150"/>
        <v>0</v>
      </c>
      <c r="X147">
        <f t="shared" si="151"/>
        <v>0</v>
      </c>
      <c r="Y147">
        <f t="shared" si="152"/>
        <v>0</v>
      </c>
      <c r="AA147">
        <v>39476960</v>
      </c>
      <c r="AB147">
        <f t="shared" si="153"/>
        <v>2202</v>
      </c>
      <c r="AC147">
        <f t="shared" si="154"/>
        <v>2202</v>
      </c>
      <c r="AD147">
        <f>ROUND((((ET147)-(EU147))+AE147),2)</f>
        <v>0</v>
      </c>
      <c r="AE147">
        <f>ROUND((EU147),2)</f>
        <v>0</v>
      </c>
      <c r="AF147">
        <f>ROUND((EV147),2)</f>
        <v>0</v>
      </c>
      <c r="AG147">
        <f t="shared" si="155"/>
        <v>0</v>
      </c>
      <c r="AH147">
        <f>(EW147)</f>
        <v>0</v>
      </c>
      <c r="AI147">
        <f>(EX147)</f>
        <v>0</v>
      </c>
      <c r="AJ147">
        <f t="shared" si="156"/>
        <v>0</v>
      </c>
      <c r="AK147">
        <v>2202</v>
      </c>
      <c r="AL147">
        <v>2202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95</v>
      </c>
      <c r="AU147">
        <v>65</v>
      </c>
      <c r="AV147">
        <v>1</v>
      </c>
      <c r="AW147">
        <v>1</v>
      </c>
      <c r="AZ147">
        <v>6.13</v>
      </c>
      <c r="BA147">
        <v>1</v>
      </c>
      <c r="BB147">
        <v>1</v>
      </c>
      <c r="BC147">
        <v>6.13</v>
      </c>
      <c r="BD147" t="s">
        <v>3</v>
      </c>
      <c r="BE147" t="s">
        <v>3</v>
      </c>
      <c r="BF147" t="s">
        <v>3</v>
      </c>
      <c r="BG147" t="s">
        <v>3</v>
      </c>
      <c r="BH147">
        <v>3</v>
      </c>
      <c r="BI147">
        <v>2</v>
      </c>
      <c r="BJ147" t="s">
        <v>430</v>
      </c>
      <c r="BM147">
        <v>108001</v>
      </c>
      <c r="BN147">
        <v>0</v>
      </c>
      <c r="BO147" t="s">
        <v>3</v>
      </c>
      <c r="BP147">
        <v>0</v>
      </c>
      <c r="BQ147">
        <v>3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95</v>
      </c>
      <c r="CA147">
        <v>65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 t="shared" si="157"/>
        <v>1619.79</v>
      </c>
      <c r="CQ147">
        <f t="shared" si="158"/>
        <v>13498.26</v>
      </c>
      <c r="CR147">
        <f t="shared" si="159"/>
        <v>0</v>
      </c>
      <c r="CS147">
        <f t="shared" si="160"/>
        <v>0</v>
      </c>
      <c r="CT147">
        <f t="shared" si="161"/>
        <v>0</v>
      </c>
      <c r="CU147">
        <f t="shared" si="162"/>
        <v>0</v>
      </c>
      <c r="CV147">
        <f t="shared" si="163"/>
        <v>0</v>
      </c>
      <c r="CW147">
        <f t="shared" si="164"/>
        <v>0</v>
      </c>
      <c r="CX147">
        <f t="shared" si="165"/>
        <v>0</v>
      </c>
      <c r="CY147">
        <f t="shared" si="166"/>
        <v>0</v>
      </c>
      <c r="CZ147">
        <f t="shared" si="167"/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429</v>
      </c>
      <c r="DW147" t="s">
        <v>429</v>
      </c>
      <c r="DX147">
        <v>100</v>
      </c>
      <c r="EE147">
        <v>39174386</v>
      </c>
      <c r="EF147">
        <v>3</v>
      </c>
      <c r="EG147" t="s">
        <v>372</v>
      </c>
      <c r="EH147">
        <v>0</v>
      </c>
      <c r="EI147" t="s">
        <v>3</v>
      </c>
      <c r="EJ147">
        <v>2</v>
      </c>
      <c r="EK147">
        <v>108001</v>
      </c>
      <c r="EL147" t="s">
        <v>373</v>
      </c>
      <c r="EM147" t="s">
        <v>374</v>
      </c>
      <c r="EO147" t="s">
        <v>3</v>
      </c>
      <c r="EQ147">
        <v>0</v>
      </c>
      <c r="ER147">
        <v>2202</v>
      </c>
      <c r="ES147">
        <v>2202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68"/>
        <v>0</v>
      </c>
      <c r="FS147">
        <v>0</v>
      </c>
      <c r="FX147">
        <v>95</v>
      </c>
      <c r="FY147">
        <v>65</v>
      </c>
      <c r="GA147" t="s">
        <v>3</v>
      </c>
      <c r="GD147">
        <v>0</v>
      </c>
      <c r="GF147">
        <v>-188618048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69"/>
        <v>0</v>
      </c>
      <c r="GM147">
        <f t="shared" si="170"/>
        <v>1619.79</v>
      </c>
      <c r="GN147">
        <f t="shared" si="171"/>
        <v>0</v>
      </c>
      <c r="GO147">
        <f t="shared" si="172"/>
        <v>1619.79</v>
      </c>
      <c r="GP147">
        <f t="shared" si="173"/>
        <v>0</v>
      </c>
      <c r="GR147">
        <v>0</v>
      </c>
      <c r="GS147">
        <v>3</v>
      </c>
      <c r="GT147">
        <v>0</v>
      </c>
      <c r="GU147" t="s">
        <v>3</v>
      </c>
      <c r="GV147">
        <f t="shared" si="174"/>
        <v>0</v>
      </c>
      <c r="GW147">
        <v>1</v>
      </c>
      <c r="GX147">
        <f t="shared" si="175"/>
        <v>0</v>
      </c>
      <c r="HA147">
        <v>0</v>
      </c>
      <c r="HB147">
        <v>0</v>
      </c>
      <c r="IK147">
        <v>0</v>
      </c>
    </row>
    <row r="148" spans="1:245" x14ac:dyDescent="0.2">
      <c r="A148">
        <v>17</v>
      </c>
      <c r="B148">
        <v>1</v>
      </c>
      <c r="C148">
        <f>ROW(SmtRes!A351)</f>
        <v>351</v>
      </c>
      <c r="D148">
        <f>ROW(EtalonRes!A327)</f>
        <v>327</v>
      </c>
      <c r="E148" t="s">
        <v>431</v>
      </c>
      <c r="F148" t="s">
        <v>432</v>
      </c>
      <c r="G148" t="s">
        <v>433</v>
      </c>
      <c r="H148" t="s">
        <v>403</v>
      </c>
      <c r="I148">
        <v>20</v>
      </c>
      <c r="J148">
        <v>0</v>
      </c>
      <c r="O148">
        <f t="shared" si="142"/>
        <v>4801.0200000000004</v>
      </c>
      <c r="P148">
        <f t="shared" si="143"/>
        <v>2463.0300000000002</v>
      </c>
      <c r="Q148">
        <f t="shared" si="144"/>
        <v>154.47999999999999</v>
      </c>
      <c r="R148">
        <f t="shared" si="145"/>
        <v>0</v>
      </c>
      <c r="S148">
        <f t="shared" si="146"/>
        <v>2183.5100000000002</v>
      </c>
      <c r="T148">
        <f t="shared" si="147"/>
        <v>0</v>
      </c>
      <c r="U148">
        <f t="shared" si="148"/>
        <v>37.44</v>
      </c>
      <c r="V148">
        <f t="shared" si="149"/>
        <v>0</v>
      </c>
      <c r="W148">
        <f t="shared" si="150"/>
        <v>0</v>
      </c>
      <c r="X148">
        <f t="shared" si="151"/>
        <v>2074.33</v>
      </c>
      <c r="Y148">
        <f t="shared" si="152"/>
        <v>1419.28</v>
      </c>
      <c r="AA148">
        <v>39476960</v>
      </c>
      <c r="AB148">
        <f t="shared" si="153"/>
        <v>39.159999999999997</v>
      </c>
      <c r="AC148">
        <f t="shared" si="154"/>
        <v>20.09</v>
      </c>
      <c r="AD148">
        <f>ROUND(((((ET148*1.2))-((EU148*1.2)))+AE148),2)</f>
        <v>1.26</v>
      </c>
      <c r="AE148">
        <f>ROUND(((EU148*1.2)),2)</f>
        <v>0</v>
      </c>
      <c r="AF148">
        <f>ROUND(((EV148*1.2)),2)</f>
        <v>17.809999999999999</v>
      </c>
      <c r="AG148">
        <f t="shared" si="155"/>
        <v>0</v>
      </c>
      <c r="AH148">
        <f>((EW148*1.2))</f>
        <v>1.8719999999999999</v>
      </c>
      <c r="AI148">
        <f>((EX148*1.2))</f>
        <v>0</v>
      </c>
      <c r="AJ148">
        <f t="shared" si="156"/>
        <v>0</v>
      </c>
      <c r="AK148">
        <v>35.979999999999997</v>
      </c>
      <c r="AL148">
        <v>20.09</v>
      </c>
      <c r="AM148">
        <v>1.05</v>
      </c>
      <c r="AN148">
        <v>0</v>
      </c>
      <c r="AO148">
        <v>14.84</v>
      </c>
      <c r="AP148">
        <v>0</v>
      </c>
      <c r="AQ148">
        <v>1.56</v>
      </c>
      <c r="AR148">
        <v>0</v>
      </c>
      <c r="AS148">
        <v>0</v>
      </c>
      <c r="AT148">
        <v>95</v>
      </c>
      <c r="AU148">
        <v>65</v>
      </c>
      <c r="AV148">
        <v>1</v>
      </c>
      <c r="AW148">
        <v>1</v>
      </c>
      <c r="AZ148">
        <v>6.13</v>
      </c>
      <c r="BA148">
        <v>6.13</v>
      </c>
      <c r="BB148">
        <v>6.13</v>
      </c>
      <c r="BC148">
        <v>6.13</v>
      </c>
      <c r="BD148" t="s">
        <v>3</v>
      </c>
      <c r="BE148" t="s">
        <v>3</v>
      </c>
      <c r="BF148" t="s">
        <v>3</v>
      </c>
      <c r="BG148" t="s">
        <v>3</v>
      </c>
      <c r="BH148">
        <v>0</v>
      </c>
      <c r="BI148">
        <v>2</v>
      </c>
      <c r="BJ148" t="s">
        <v>434</v>
      </c>
      <c r="BM148">
        <v>108001</v>
      </c>
      <c r="BN148">
        <v>0</v>
      </c>
      <c r="BO148" t="s">
        <v>3</v>
      </c>
      <c r="BP148">
        <v>0</v>
      </c>
      <c r="BQ148">
        <v>3</v>
      </c>
      <c r="BR148">
        <v>0</v>
      </c>
      <c r="BS148">
        <v>6.13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95</v>
      </c>
      <c r="CA148">
        <v>65</v>
      </c>
      <c r="CF148">
        <v>0</v>
      </c>
      <c r="CG148">
        <v>0</v>
      </c>
      <c r="CM148">
        <v>0</v>
      </c>
      <c r="CN148" t="s">
        <v>370</v>
      </c>
      <c r="CO148">
        <v>0</v>
      </c>
      <c r="CP148">
        <f t="shared" si="157"/>
        <v>4801.0200000000004</v>
      </c>
      <c r="CQ148">
        <f t="shared" si="158"/>
        <v>123.15169999999999</v>
      </c>
      <c r="CR148">
        <f t="shared" si="159"/>
        <v>7.7237999999999998</v>
      </c>
      <c r="CS148">
        <f t="shared" si="160"/>
        <v>0</v>
      </c>
      <c r="CT148">
        <f t="shared" si="161"/>
        <v>109.17529999999999</v>
      </c>
      <c r="CU148">
        <f t="shared" si="162"/>
        <v>0</v>
      </c>
      <c r="CV148">
        <f t="shared" si="163"/>
        <v>1.8719999999999999</v>
      </c>
      <c r="CW148">
        <f t="shared" si="164"/>
        <v>0</v>
      </c>
      <c r="CX148">
        <f t="shared" si="165"/>
        <v>0</v>
      </c>
      <c r="CY148">
        <f t="shared" si="166"/>
        <v>2074.3344999999999</v>
      </c>
      <c r="CZ148">
        <f t="shared" si="167"/>
        <v>1419.2815000000003</v>
      </c>
      <c r="DC148" t="s">
        <v>3</v>
      </c>
      <c r="DD148" t="s">
        <v>3</v>
      </c>
      <c r="DE148" t="s">
        <v>371</v>
      </c>
      <c r="DF148" t="s">
        <v>371</v>
      </c>
      <c r="DG148" t="s">
        <v>371</v>
      </c>
      <c r="DH148" t="s">
        <v>3</v>
      </c>
      <c r="DI148" t="s">
        <v>371</v>
      </c>
      <c r="DJ148" t="s">
        <v>371</v>
      </c>
      <c r="DK148" t="s">
        <v>3</v>
      </c>
      <c r="DL148" t="s">
        <v>3</v>
      </c>
      <c r="DM148" t="s">
        <v>3</v>
      </c>
      <c r="DN148">
        <v>0</v>
      </c>
      <c r="DO148">
        <v>0</v>
      </c>
      <c r="DP148">
        <v>1</v>
      </c>
      <c r="DQ148">
        <v>1</v>
      </c>
      <c r="DU148">
        <v>1013</v>
      </c>
      <c r="DV148" t="s">
        <v>403</v>
      </c>
      <c r="DW148" t="s">
        <v>403</v>
      </c>
      <c r="DX148">
        <v>1</v>
      </c>
      <c r="EE148">
        <v>39174386</v>
      </c>
      <c r="EF148">
        <v>3</v>
      </c>
      <c r="EG148" t="s">
        <v>372</v>
      </c>
      <c r="EH148">
        <v>0</v>
      </c>
      <c r="EI148" t="s">
        <v>3</v>
      </c>
      <c r="EJ148">
        <v>2</v>
      </c>
      <c r="EK148">
        <v>108001</v>
      </c>
      <c r="EL148" t="s">
        <v>373</v>
      </c>
      <c r="EM148" t="s">
        <v>374</v>
      </c>
      <c r="EO148" t="s">
        <v>375</v>
      </c>
      <c r="EQ148">
        <v>0</v>
      </c>
      <c r="ER148">
        <v>35.979999999999997</v>
      </c>
      <c r="ES148">
        <v>20.09</v>
      </c>
      <c r="ET148">
        <v>1.05</v>
      </c>
      <c r="EU148">
        <v>0</v>
      </c>
      <c r="EV148">
        <v>14.84</v>
      </c>
      <c r="EW148">
        <v>1.56</v>
      </c>
      <c r="EX148">
        <v>0</v>
      </c>
      <c r="EY148">
        <v>0</v>
      </c>
      <c r="FQ148">
        <v>0</v>
      </c>
      <c r="FR148">
        <f t="shared" si="168"/>
        <v>0</v>
      </c>
      <c r="FS148">
        <v>0</v>
      </c>
      <c r="FX148">
        <v>95</v>
      </c>
      <c r="FY148">
        <v>65</v>
      </c>
      <c r="GA148" t="s">
        <v>3</v>
      </c>
      <c r="GD148">
        <v>0</v>
      </c>
      <c r="GF148">
        <v>942868882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si="169"/>
        <v>0</v>
      </c>
      <c r="GM148">
        <f t="shared" si="170"/>
        <v>8294.6299999999992</v>
      </c>
      <c r="GN148">
        <f t="shared" si="171"/>
        <v>0</v>
      </c>
      <c r="GO148">
        <f t="shared" si="172"/>
        <v>8294.6299999999992</v>
      </c>
      <c r="GP148">
        <f t="shared" si="173"/>
        <v>0</v>
      </c>
      <c r="GR148">
        <v>0</v>
      </c>
      <c r="GS148">
        <v>3</v>
      </c>
      <c r="GT148">
        <v>0</v>
      </c>
      <c r="GU148" t="s">
        <v>3</v>
      </c>
      <c r="GV148">
        <f t="shared" si="174"/>
        <v>0</v>
      </c>
      <c r="GW148">
        <v>1</v>
      </c>
      <c r="GX148">
        <f t="shared" si="175"/>
        <v>0</v>
      </c>
      <c r="HA148">
        <v>0</v>
      </c>
      <c r="HB148">
        <v>0</v>
      </c>
      <c r="IK148">
        <v>0</v>
      </c>
    </row>
    <row r="149" spans="1:245" x14ac:dyDescent="0.2">
      <c r="A149">
        <v>18</v>
      </c>
      <c r="B149">
        <v>1</v>
      </c>
      <c r="C149">
        <v>349</v>
      </c>
      <c r="E149" t="s">
        <v>435</v>
      </c>
      <c r="F149" t="s">
        <v>436</v>
      </c>
      <c r="G149" t="s">
        <v>437</v>
      </c>
      <c r="H149" t="s">
        <v>415</v>
      </c>
      <c r="I149">
        <f>I148*J149</f>
        <v>15</v>
      </c>
      <c r="J149">
        <v>0.75</v>
      </c>
      <c r="O149">
        <f t="shared" si="142"/>
        <v>907.55</v>
      </c>
      <c r="P149">
        <f t="shared" si="143"/>
        <v>907.55</v>
      </c>
      <c r="Q149">
        <f t="shared" si="144"/>
        <v>0</v>
      </c>
      <c r="R149">
        <f t="shared" si="145"/>
        <v>0</v>
      </c>
      <c r="S149">
        <f t="shared" si="146"/>
        <v>0</v>
      </c>
      <c r="T149">
        <f t="shared" si="147"/>
        <v>0</v>
      </c>
      <c r="U149">
        <f t="shared" si="148"/>
        <v>0</v>
      </c>
      <c r="V149">
        <f t="shared" si="149"/>
        <v>0</v>
      </c>
      <c r="W149">
        <f t="shared" si="150"/>
        <v>0</v>
      </c>
      <c r="X149">
        <f t="shared" si="151"/>
        <v>0</v>
      </c>
      <c r="Y149">
        <f t="shared" si="152"/>
        <v>0</v>
      </c>
      <c r="AA149">
        <v>39476960</v>
      </c>
      <c r="AB149">
        <f t="shared" si="153"/>
        <v>9.8699999999999992</v>
      </c>
      <c r="AC149">
        <f t="shared" si="154"/>
        <v>9.8699999999999992</v>
      </c>
      <c r="AD149">
        <f>ROUND((((ET149)-(EU149))+AE149),2)</f>
        <v>0</v>
      </c>
      <c r="AE149">
        <f>ROUND((EU149),2)</f>
        <v>0</v>
      </c>
      <c r="AF149">
        <f>ROUND((EV149),2)</f>
        <v>0</v>
      </c>
      <c r="AG149">
        <f t="shared" si="155"/>
        <v>0</v>
      </c>
      <c r="AH149">
        <f>(EW149)</f>
        <v>0</v>
      </c>
      <c r="AI149">
        <f>(EX149)</f>
        <v>0</v>
      </c>
      <c r="AJ149">
        <f t="shared" si="156"/>
        <v>0</v>
      </c>
      <c r="AK149">
        <v>9.8699999999999992</v>
      </c>
      <c r="AL149">
        <v>9.8699999999999992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65</v>
      </c>
      <c r="AV149">
        <v>1</v>
      </c>
      <c r="AW149">
        <v>1</v>
      </c>
      <c r="AZ149">
        <v>6.13</v>
      </c>
      <c r="BA149">
        <v>1</v>
      </c>
      <c r="BB149">
        <v>1</v>
      </c>
      <c r="BC149">
        <v>6.13</v>
      </c>
      <c r="BD149" t="s">
        <v>3</v>
      </c>
      <c r="BE149" t="s">
        <v>3</v>
      </c>
      <c r="BF149" t="s">
        <v>3</v>
      </c>
      <c r="BG149" t="s">
        <v>3</v>
      </c>
      <c r="BH149">
        <v>3</v>
      </c>
      <c r="BI149">
        <v>2</v>
      </c>
      <c r="BJ149" t="s">
        <v>438</v>
      </c>
      <c r="BM149">
        <v>108001</v>
      </c>
      <c r="BN149">
        <v>0</v>
      </c>
      <c r="BO149" t="s">
        <v>3</v>
      </c>
      <c r="BP149">
        <v>0</v>
      </c>
      <c r="BQ149">
        <v>3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95</v>
      </c>
      <c r="CA149">
        <v>65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57"/>
        <v>907.55</v>
      </c>
      <c r="CQ149">
        <f t="shared" si="158"/>
        <v>60.503099999999996</v>
      </c>
      <c r="CR149">
        <f t="shared" si="159"/>
        <v>0</v>
      </c>
      <c r="CS149">
        <f t="shared" si="160"/>
        <v>0</v>
      </c>
      <c r="CT149">
        <f t="shared" si="161"/>
        <v>0</v>
      </c>
      <c r="CU149">
        <f t="shared" si="162"/>
        <v>0</v>
      </c>
      <c r="CV149">
        <f t="shared" si="163"/>
        <v>0</v>
      </c>
      <c r="CW149">
        <f t="shared" si="164"/>
        <v>0</v>
      </c>
      <c r="CX149">
        <f t="shared" si="165"/>
        <v>0</v>
      </c>
      <c r="CY149">
        <f t="shared" si="166"/>
        <v>0</v>
      </c>
      <c r="CZ149">
        <f t="shared" si="167"/>
        <v>0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1010</v>
      </c>
      <c r="DV149" t="s">
        <v>415</v>
      </c>
      <c r="DW149" t="s">
        <v>415</v>
      </c>
      <c r="DX149">
        <v>1</v>
      </c>
      <c r="EE149">
        <v>39174386</v>
      </c>
      <c r="EF149">
        <v>3</v>
      </c>
      <c r="EG149" t="s">
        <v>372</v>
      </c>
      <c r="EH149">
        <v>0</v>
      </c>
      <c r="EI149" t="s">
        <v>3</v>
      </c>
      <c r="EJ149">
        <v>2</v>
      </c>
      <c r="EK149">
        <v>108001</v>
      </c>
      <c r="EL149" t="s">
        <v>373</v>
      </c>
      <c r="EM149" t="s">
        <v>374</v>
      </c>
      <c r="EO149" t="s">
        <v>3</v>
      </c>
      <c r="EQ149">
        <v>0</v>
      </c>
      <c r="ER149">
        <v>9.8699999999999992</v>
      </c>
      <c r="ES149">
        <v>9.8699999999999992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68"/>
        <v>0</v>
      </c>
      <c r="FS149">
        <v>0</v>
      </c>
      <c r="FX149">
        <v>95</v>
      </c>
      <c r="FY149">
        <v>65</v>
      </c>
      <c r="GA149" t="s">
        <v>3</v>
      </c>
      <c r="GD149">
        <v>0</v>
      </c>
      <c r="GF149">
        <v>634384662</v>
      </c>
      <c r="GG149">
        <v>1</v>
      </c>
      <c r="GH149">
        <v>1</v>
      </c>
      <c r="GI149">
        <v>4</v>
      </c>
      <c r="GJ149">
        <v>0</v>
      </c>
      <c r="GK149">
        <f>ROUND(R149*(R12)/100,2)</f>
        <v>0</v>
      </c>
      <c r="GL149">
        <f t="shared" si="169"/>
        <v>0</v>
      </c>
      <c r="GM149">
        <f t="shared" si="170"/>
        <v>907.55</v>
      </c>
      <c r="GN149">
        <f t="shared" si="171"/>
        <v>0</v>
      </c>
      <c r="GO149">
        <f t="shared" si="172"/>
        <v>907.55</v>
      </c>
      <c r="GP149">
        <f t="shared" si="173"/>
        <v>0</v>
      </c>
      <c r="GR149">
        <v>0</v>
      </c>
      <c r="GS149">
        <v>3</v>
      </c>
      <c r="GT149">
        <v>0</v>
      </c>
      <c r="GU149" t="s">
        <v>3</v>
      </c>
      <c r="GV149">
        <f t="shared" si="174"/>
        <v>0</v>
      </c>
      <c r="GW149">
        <v>1</v>
      </c>
      <c r="GX149">
        <f t="shared" si="175"/>
        <v>0</v>
      </c>
      <c r="HA149">
        <v>0</v>
      </c>
      <c r="HB149">
        <v>0</v>
      </c>
      <c r="IK149">
        <v>0</v>
      </c>
    </row>
    <row r="150" spans="1:245" x14ac:dyDescent="0.2">
      <c r="A150">
        <v>18</v>
      </c>
      <c r="B150">
        <v>1</v>
      </c>
      <c r="C150">
        <v>350</v>
      </c>
      <c r="E150" t="s">
        <v>439</v>
      </c>
      <c r="F150" t="s">
        <v>440</v>
      </c>
      <c r="G150" t="s">
        <v>441</v>
      </c>
      <c r="H150" t="s">
        <v>415</v>
      </c>
      <c r="I150">
        <f>I148*J150</f>
        <v>5</v>
      </c>
      <c r="J150">
        <v>0.25</v>
      </c>
      <c r="O150">
        <f t="shared" si="142"/>
        <v>907.85</v>
      </c>
      <c r="P150">
        <f t="shared" si="143"/>
        <v>907.85</v>
      </c>
      <c r="Q150">
        <f t="shared" si="144"/>
        <v>0</v>
      </c>
      <c r="R150">
        <f t="shared" si="145"/>
        <v>0</v>
      </c>
      <c r="S150">
        <f t="shared" si="146"/>
        <v>0</v>
      </c>
      <c r="T150">
        <f t="shared" si="147"/>
        <v>0</v>
      </c>
      <c r="U150">
        <f t="shared" si="148"/>
        <v>0</v>
      </c>
      <c r="V150">
        <f t="shared" si="149"/>
        <v>0</v>
      </c>
      <c r="W150">
        <f t="shared" si="150"/>
        <v>0</v>
      </c>
      <c r="X150">
        <f t="shared" si="151"/>
        <v>0</v>
      </c>
      <c r="Y150">
        <f t="shared" si="152"/>
        <v>0</v>
      </c>
      <c r="AA150">
        <v>39476960</v>
      </c>
      <c r="AB150">
        <f t="shared" si="153"/>
        <v>29.62</v>
      </c>
      <c r="AC150">
        <f t="shared" si="154"/>
        <v>29.62</v>
      </c>
      <c r="AD150">
        <f>ROUND((((ET150)-(EU150))+AE150),2)</f>
        <v>0</v>
      </c>
      <c r="AE150">
        <f>ROUND((EU150),2)</f>
        <v>0</v>
      </c>
      <c r="AF150">
        <f>ROUND((EV150),2)</f>
        <v>0</v>
      </c>
      <c r="AG150">
        <f t="shared" si="155"/>
        <v>0</v>
      </c>
      <c r="AH150">
        <f>(EW150)</f>
        <v>0</v>
      </c>
      <c r="AI150">
        <f>(EX150)</f>
        <v>0</v>
      </c>
      <c r="AJ150">
        <f t="shared" si="156"/>
        <v>0</v>
      </c>
      <c r="AK150">
        <v>29.62</v>
      </c>
      <c r="AL150">
        <v>29.62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95</v>
      </c>
      <c r="AU150">
        <v>65</v>
      </c>
      <c r="AV150">
        <v>1</v>
      </c>
      <c r="AW150">
        <v>1</v>
      </c>
      <c r="AZ150">
        <v>6.13</v>
      </c>
      <c r="BA150">
        <v>1</v>
      </c>
      <c r="BB150">
        <v>1</v>
      </c>
      <c r="BC150">
        <v>6.13</v>
      </c>
      <c r="BD150" t="s">
        <v>3</v>
      </c>
      <c r="BE150" t="s">
        <v>3</v>
      </c>
      <c r="BF150" t="s">
        <v>3</v>
      </c>
      <c r="BG150" t="s">
        <v>3</v>
      </c>
      <c r="BH150">
        <v>3</v>
      </c>
      <c r="BI150">
        <v>2</v>
      </c>
      <c r="BJ150" t="s">
        <v>442</v>
      </c>
      <c r="BM150">
        <v>108001</v>
      </c>
      <c r="BN150">
        <v>0</v>
      </c>
      <c r="BO150" t="s">
        <v>3</v>
      </c>
      <c r="BP150">
        <v>0</v>
      </c>
      <c r="BQ150">
        <v>3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3</v>
      </c>
      <c r="BZ150">
        <v>95</v>
      </c>
      <c r="CA150">
        <v>65</v>
      </c>
      <c r="CF150">
        <v>0</v>
      </c>
      <c r="CG150">
        <v>0</v>
      </c>
      <c r="CM150">
        <v>0</v>
      </c>
      <c r="CN150" t="s">
        <v>3</v>
      </c>
      <c r="CO150">
        <v>0</v>
      </c>
      <c r="CP150">
        <f t="shared" si="157"/>
        <v>907.85</v>
      </c>
      <c r="CQ150">
        <f t="shared" si="158"/>
        <v>181.57060000000001</v>
      </c>
      <c r="CR150">
        <f t="shared" si="159"/>
        <v>0</v>
      </c>
      <c r="CS150">
        <f t="shared" si="160"/>
        <v>0</v>
      </c>
      <c r="CT150">
        <f t="shared" si="161"/>
        <v>0</v>
      </c>
      <c r="CU150">
        <f t="shared" si="162"/>
        <v>0</v>
      </c>
      <c r="CV150">
        <f t="shared" si="163"/>
        <v>0</v>
      </c>
      <c r="CW150">
        <f t="shared" si="164"/>
        <v>0</v>
      </c>
      <c r="CX150">
        <f t="shared" si="165"/>
        <v>0</v>
      </c>
      <c r="CY150">
        <f t="shared" si="166"/>
        <v>0</v>
      </c>
      <c r="CZ150">
        <f t="shared" si="167"/>
        <v>0</v>
      </c>
      <c r="DC150" t="s">
        <v>3</v>
      </c>
      <c r="DD150" t="s">
        <v>3</v>
      </c>
      <c r="DE150" t="s">
        <v>3</v>
      </c>
      <c r="DF150" t="s">
        <v>3</v>
      </c>
      <c r="DG150" t="s">
        <v>3</v>
      </c>
      <c r="DH150" t="s">
        <v>3</v>
      </c>
      <c r="DI150" t="s">
        <v>3</v>
      </c>
      <c r="DJ150" t="s">
        <v>3</v>
      </c>
      <c r="DK150" t="s">
        <v>3</v>
      </c>
      <c r="DL150" t="s">
        <v>3</v>
      </c>
      <c r="DM150" t="s">
        <v>3</v>
      </c>
      <c r="DN150">
        <v>0</v>
      </c>
      <c r="DO150">
        <v>0</v>
      </c>
      <c r="DP150">
        <v>1</v>
      </c>
      <c r="DQ150">
        <v>1</v>
      </c>
      <c r="DU150">
        <v>1010</v>
      </c>
      <c r="DV150" t="s">
        <v>415</v>
      </c>
      <c r="DW150" t="s">
        <v>415</v>
      </c>
      <c r="DX150">
        <v>1</v>
      </c>
      <c r="EE150">
        <v>39174386</v>
      </c>
      <c r="EF150">
        <v>3</v>
      </c>
      <c r="EG150" t="s">
        <v>372</v>
      </c>
      <c r="EH150">
        <v>0</v>
      </c>
      <c r="EI150" t="s">
        <v>3</v>
      </c>
      <c r="EJ150">
        <v>2</v>
      </c>
      <c r="EK150">
        <v>108001</v>
      </c>
      <c r="EL150" t="s">
        <v>373</v>
      </c>
      <c r="EM150" t="s">
        <v>374</v>
      </c>
      <c r="EO150" t="s">
        <v>3</v>
      </c>
      <c r="EQ150">
        <v>0</v>
      </c>
      <c r="ER150">
        <v>29.62</v>
      </c>
      <c r="ES150">
        <v>29.62</v>
      </c>
      <c r="ET150">
        <v>0</v>
      </c>
      <c r="EU150">
        <v>0</v>
      </c>
      <c r="EV150">
        <v>0</v>
      </c>
      <c r="EW150">
        <v>0</v>
      </c>
      <c r="EX150">
        <v>0</v>
      </c>
      <c r="FQ150">
        <v>0</v>
      </c>
      <c r="FR150">
        <f t="shared" si="168"/>
        <v>0</v>
      </c>
      <c r="FS150">
        <v>0</v>
      </c>
      <c r="FX150">
        <v>95</v>
      </c>
      <c r="FY150">
        <v>65</v>
      </c>
      <c r="GA150" t="s">
        <v>3</v>
      </c>
      <c r="GD150">
        <v>0</v>
      </c>
      <c r="GF150">
        <v>-1384312906</v>
      </c>
      <c r="GG150">
        <v>1</v>
      </c>
      <c r="GH150">
        <v>1</v>
      </c>
      <c r="GI150">
        <v>4</v>
      </c>
      <c r="GJ150">
        <v>0</v>
      </c>
      <c r="GK150">
        <f>ROUND(R150*(R12)/100,2)</f>
        <v>0</v>
      </c>
      <c r="GL150">
        <f t="shared" si="169"/>
        <v>0</v>
      </c>
      <c r="GM150">
        <f t="shared" si="170"/>
        <v>907.85</v>
      </c>
      <c r="GN150">
        <f t="shared" si="171"/>
        <v>0</v>
      </c>
      <c r="GO150">
        <f t="shared" si="172"/>
        <v>907.85</v>
      </c>
      <c r="GP150">
        <f t="shared" si="173"/>
        <v>0</v>
      </c>
      <c r="GR150">
        <v>0</v>
      </c>
      <c r="GS150">
        <v>3</v>
      </c>
      <c r="GT150">
        <v>0</v>
      </c>
      <c r="GU150" t="s">
        <v>3</v>
      </c>
      <c r="GV150">
        <f t="shared" si="174"/>
        <v>0</v>
      </c>
      <c r="GW150">
        <v>1</v>
      </c>
      <c r="GX150">
        <f t="shared" si="175"/>
        <v>0</v>
      </c>
      <c r="HA150">
        <v>0</v>
      </c>
      <c r="HB150">
        <v>0</v>
      </c>
      <c r="IK150">
        <v>0</v>
      </c>
    </row>
    <row r="151" spans="1:245" x14ac:dyDescent="0.2">
      <c r="A151">
        <v>17</v>
      </c>
      <c r="B151">
        <v>1</v>
      </c>
      <c r="C151">
        <f>ROW(SmtRes!A358)</f>
        <v>358</v>
      </c>
      <c r="D151">
        <f>ROW(EtalonRes!A333)</f>
        <v>333</v>
      </c>
      <c r="E151" t="s">
        <v>443</v>
      </c>
      <c r="F151" t="s">
        <v>444</v>
      </c>
      <c r="G151" t="s">
        <v>445</v>
      </c>
      <c r="H151" t="s">
        <v>69</v>
      </c>
      <c r="I151">
        <f>ROUND(80/100,9)</f>
        <v>0.8</v>
      </c>
      <c r="J151">
        <v>0</v>
      </c>
      <c r="O151">
        <f t="shared" si="142"/>
        <v>1166.1600000000001</v>
      </c>
      <c r="P151">
        <f t="shared" si="143"/>
        <v>252.7</v>
      </c>
      <c r="Q151">
        <f t="shared" si="144"/>
        <v>1.81</v>
      </c>
      <c r="R151">
        <f t="shared" si="145"/>
        <v>0.83</v>
      </c>
      <c r="S151">
        <f t="shared" si="146"/>
        <v>911.65</v>
      </c>
      <c r="T151">
        <f t="shared" si="147"/>
        <v>0</v>
      </c>
      <c r="U151">
        <f t="shared" si="148"/>
        <v>15.638399999999999</v>
      </c>
      <c r="V151">
        <f t="shared" si="149"/>
        <v>9.6000000000000009E-3</v>
      </c>
      <c r="W151">
        <f t="shared" si="150"/>
        <v>0</v>
      </c>
      <c r="X151">
        <f t="shared" si="151"/>
        <v>866.86</v>
      </c>
      <c r="Y151">
        <f t="shared" si="152"/>
        <v>593.11</v>
      </c>
      <c r="AA151">
        <v>39476960</v>
      </c>
      <c r="AB151">
        <f t="shared" si="153"/>
        <v>237.8</v>
      </c>
      <c r="AC151">
        <f t="shared" si="154"/>
        <v>51.53</v>
      </c>
      <c r="AD151">
        <f>ROUND(((((ET151*1.2))-((EU151*1.2)))+AE151),2)</f>
        <v>0.37</v>
      </c>
      <c r="AE151">
        <f>ROUND(((EU151*1.2)),2)</f>
        <v>0.17</v>
      </c>
      <c r="AF151">
        <f>ROUND(((EV151*1.2)),2)</f>
        <v>185.9</v>
      </c>
      <c r="AG151">
        <f t="shared" si="155"/>
        <v>0</v>
      </c>
      <c r="AH151">
        <f>((EW151*1.2))</f>
        <v>19.547999999999998</v>
      </c>
      <c r="AI151">
        <f>((EX151*1.2))</f>
        <v>1.2E-2</v>
      </c>
      <c r="AJ151">
        <f t="shared" si="156"/>
        <v>0</v>
      </c>
      <c r="AK151">
        <v>206.76</v>
      </c>
      <c r="AL151">
        <v>51.53</v>
      </c>
      <c r="AM151">
        <v>0.31</v>
      </c>
      <c r="AN151">
        <v>0.14000000000000001</v>
      </c>
      <c r="AO151">
        <v>154.91999999999999</v>
      </c>
      <c r="AP151">
        <v>0</v>
      </c>
      <c r="AQ151">
        <v>16.29</v>
      </c>
      <c r="AR151">
        <v>0.01</v>
      </c>
      <c r="AS151">
        <v>0</v>
      </c>
      <c r="AT151">
        <v>95</v>
      </c>
      <c r="AU151">
        <v>65</v>
      </c>
      <c r="AV151">
        <v>1</v>
      </c>
      <c r="AW151">
        <v>1</v>
      </c>
      <c r="AZ151">
        <v>6.13</v>
      </c>
      <c r="BA151">
        <v>6.13</v>
      </c>
      <c r="BB151">
        <v>6.13</v>
      </c>
      <c r="BC151">
        <v>6.13</v>
      </c>
      <c r="BD151" t="s">
        <v>3</v>
      </c>
      <c r="BE151" t="s">
        <v>3</v>
      </c>
      <c r="BF151" t="s">
        <v>3</v>
      </c>
      <c r="BG151" t="s">
        <v>3</v>
      </c>
      <c r="BH151">
        <v>0</v>
      </c>
      <c r="BI151">
        <v>2</v>
      </c>
      <c r="BJ151" t="s">
        <v>446</v>
      </c>
      <c r="BM151">
        <v>108001</v>
      </c>
      <c r="BN151">
        <v>0</v>
      </c>
      <c r="BO151" t="s">
        <v>3</v>
      </c>
      <c r="BP151">
        <v>0</v>
      </c>
      <c r="BQ151">
        <v>3</v>
      </c>
      <c r="BR151">
        <v>0</v>
      </c>
      <c r="BS151">
        <v>6.13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95</v>
      </c>
      <c r="CA151">
        <v>65</v>
      </c>
      <c r="CF151">
        <v>0</v>
      </c>
      <c r="CG151">
        <v>0</v>
      </c>
      <c r="CM151">
        <v>0</v>
      </c>
      <c r="CN151" t="s">
        <v>370</v>
      </c>
      <c r="CO151">
        <v>0</v>
      </c>
      <c r="CP151">
        <f t="shared" si="157"/>
        <v>1166.1599999999999</v>
      </c>
      <c r="CQ151">
        <f t="shared" si="158"/>
        <v>315.87889999999999</v>
      </c>
      <c r="CR151">
        <f t="shared" si="159"/>
        <v>2.2681</v>
      </c>
      <c r="CS151">
        <f t="shared" si="160"/>
        <v>1.0421</v>
      </c>
      <c r="CT151">
        <f t="shared" si="161"/>
        <v>1139.567</v>
      </c>
      <c r="CU151">
        <f t="shared" si="162"/>
        <v>0</v>
      </c>
      <c r="CV151">
        <f t="shared" si="163"/>
        <v>19.547999999999998</v>
      </c>
      <c r="CW151">
        <f t="shared" si="164"/>
        <v>1.2E-2</v>
      </c>
      <c r="CX151">
        <f t="shared" si="165"/>
        <v>0</v>
      </c>
      <c r="CY151">
        <f t="shared" si="166"/>
        <v>866.85600000000011</v>
      </c>
      <c r="CZ151">
        <f t="shared" si="167"/>
        <v>593.11200000000008</v>
      </c>
      <c r="DC151" t="s">
        <v>3</v>
      </c>
      <c r="DD151" t="s">
        <v>3</v>
      </c>
      <c r="DE151" t="s">
        <v>371</v>
      </c>
      <c r="DF151" t="s">
        <v>371</v>
      </c>
      <c r="DG151" t="s">
        <v>371</v>
      </c>
      <c r="DH151" t="s">
        <v>3</v>
      </c>
      <c r="DI151" t="s">
        <v>371</v>
      </c>
      <c r="DJ151" t="s">
        <v>371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1003</v>
      </c>
      <c r="DV151" t="s">
        <v>69</v>
      </c>
      <c r="DW151" t="s">
        <v>69</v>
      </c>
      <c r="DX151">
        <v>100</v>
      </c>
      <c r="EE151">
        <v>39174386</v>
      </c>
      <c r="EF151">
        <v>3</v>
      </c>
      <c r="EG151" t="s">
        <v>372</v>
      </c>
      <c r="EH151">
        <v>0</v>
      </c>
      <c r="EI151" t="s">
        <v>3</v>
      </c>
      <c r="EJ151">
        <v>2</v>
      </c>
      <c r="EK151">
        <v>108001</v>
      </c>
      <c r="EL151" t="s">
        <v>373</v>
      </c>
      <c r="EM151" t="s">
        <v>374</v>
      </c>
      <c r="EO151" t="s">
        <v>375</v>
      </c>
      <c r="EQ151">
        <v>0</v>
      </c>
      <c r="ER151">
        <v>206.76</v>
      </c>
      <c r="ES151">
        <v>51.53</v>
      </c>
      <c r="ET151">
        <v>0.31</v>
      </c>
      <c r="EU151">
        <v>0.14000000000000001</v>
      </c>
      <c r="EV151">
        <v>154.91999999999999</v>
      </c>
      <c r="EW151">
        <v>16.29</v>
      </c>
      <c r="EX151">
        <v>0.01</v>
      </c>
      <c r="EY151">
        <v>0</v>
      </c>
      <c r="FQ151">
        <v>0</v>
      </c>
      <c r="FR151">
        <f t="shared" si="168"/>
        <v>0</v>
      </c>
      <c r="FS151">
        <v>0</v>
      </c>
      <c r="FX151">
        <v>95</v>
      </c>
      <c r="FY151">
        <v>65</v>
      </c>
      <c r="GA151" t="s">
        <v>3</v>
      </c>
      <c r="GD151">
        <v>0</v>
      </c>
      <c r="GF151">
        <v>-1776686347</v>
      </c>
      <c r="GG151">
        <v>1</v>
      </c>
      <c r="GH151">
        <v>1</v>
      </c>
      <c r="GI151">
        <v>4</v>
      </c>
      <c r="GJ151">
        <v>0</v>
      </c>
      <c r="GK151">
        <f>ROUND(R151*(R12)/100,2)</f>
        <v>0</v>
      </c>
      <c r="GL151">
        <f t="shared" si="169"/>
        <v>0</v>
      </c>
      <c r="GM151">
        <f t="shared" si="170"/>
        <v>2626.13</v>
      </c>
      <c r="GN151">
        <f t="shared" si="171"/>
        <v>0</v>
      </c>
      <c r="GO151">
        <f t="shared" si="172"/>
        <v>2626.13</v>
      </c>
      <c r="GP151">
        <f t="shared" si="173"/>
        <v>0</v>
      </c>
      <c r="GR151">
        <v>0</v>
      </c>
      <c r="GS151">
        <v>3</v>
      </c>
      <c r="GT151">
        <v>0</v>
      </c>
      <c r="GU151" t="s">
        <v>3</v>
      </c>
      <c r="GV151">
        <f t="shared" si="174"/>
        <v>0</v>
      </c>
      <c r="GW151">
        <v>1</v>
      </c>
      <c r="GX151">
        <f t="shared" si="175"/>
        <v>0</v>
      </c>
      <c r="HA151">
        <v>0</v>
      </c>
      <c r="HB151">
        <v>0</v>
      </c>
      <c r="IK151">
        <v>0</v>
      </c>
    </row>
    <row r="152" spans="1:245" x14ac:dyDescent="0.2">
      <c r="A152">
        <v>18</v>
      </c>
      <c r="B152">
        <v>1</v>
      </c>
      <c r="C152">
        <v>357</v>
      </c>
      <c r="E152" t="s">
        <v>447</v>
      </c>
      <c r="F152" t="s">
        <v>448</v>
      </c>
      <c r="G152" t="s">
        <v>449</v>
      </c>
      <c r="H152" t="s">
        <v>69</v>
      </c>
      <c r="I152">
        <f>I151*J152</f>
        <v>0.8</v>
      </c>
      <c r="J152">
        <v>1</v>
      </c>
      <c r="O152">
        <f t="shared" si="142"/>
        <v>838.58</v>
      </c>
      <c r="P152">
        <f t="shared" si="143"/>
        <v>838.58</v>
      </c>
      <c r="Q152">
        <f t="shared" si="144"/>
        <v>0</v>
      </c>
      <c r="R152">
        <f t="shared" si="145"/>
        <v>0</v>
      </c>
      <c r="S152">
        <f t="shared" si="146"/>
        <v>0</v>
      </c>
      <c r="T152">
        <f t="shared" si="147"/>
        <v>0</v>
      </c>
      <c r="U152">
        <f t="shared" si="148"/>
        <v>0</v>
      </c>
      <c r="V152">
        <f t="shared" si="149"/>
        <v>0</v>
      </c>
      <c r="W152">
        <f t="shared" si="150"/>
        <v>0</v>
      </c>
      <c r="X152">
        <f t="shared" si="151"/>
        <v>0</v>
      </c>
      <c r="Y152">
        <f t="shared" si="152"/>
        <v>0</v>
      </c>
      <c r="AA152">
        <v>39476960</v>
      </c>
      <c r="AB152">
        <f t="shared" si="153"/>
        <v>171</v>
      </c>
      <c r="AC152">
        <f t="shared" si="154"/>
        <v>171</v>
      </c>
      <c r="AD152">
        <f>ROUND((((ET152)-(EU152))+AE152),2)</f>
        <v>0</v>
      </c>
      <c r="AE152">
        <f t="shared" ref="AE152:AF154" si="178">ROUND((EU152),2)</f>
        <v>0</v>
      </c>
      <c r="AF152">
        <f t="shared" si="178"/>
        <v>0</v>
      </c>
      <c r="AG152">
        <f t="shared" si="155"/>
        <v>0</v>
      </c>
      <c r="AH152">
        <f t="shared" ref="AH152:AI154" si="179">(EW152)</f>
        <v>0</v>
      </c>
      <c r="AI152">
        <f t="shared" si="179"/>
        <v>0</v>
      </c>
      <c r="AJ152">
        <f t="shared" si="156"/>
        <v>0</v>
      </c>
      <c r="AK152">
        <v>171</v>
      </c>
      <c r="AL152">
        <v>171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95</v>
      </c>
      <c r="AU152">
        <v>65</v>
      </c>
      <c r="AV152">
        <v>1</v>
      </c>
      <c r="AW152">
        <v>1</v>
      </c>
      <c r="AZ152">
        <v>6.13</v>
      </c>
      <c r="BA152">
        <v>1</v>
      </c>
      <c r="BB152">
        <v>1</v>
      </c>
      <c r="BC152">
        <v>6.13</v>
      </c>
      <c r="BD152" t="s">
        <v>3</v>
      </c>
      <c r="BE152" t="s">
        <v>3</v>
      </c>
      <c r="BF152" t="s">
        <v>3</v>
      </c>
      <c r="BG152" t="s">
        <v>3</v>
      </c>
      <c r="BH152">
        <v>3</v>
      </c>
      <c r="BI152">
        <v>2</v>
      </c>
      <c r="BJ152" t="s">
        <v>450</v>
      </c>
      <c r="BM152">
        <v>108001</v>
      </c>
      <c r="BN152">
        <v>0</v>
      </c>
      <c r="BO152" t="s">
        <v>3</v>
      </c>
      <c r="BP152">
        <v>0</v>
      </c>
      <c r="BQ152">
        <v>3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3</v>
      </c>
      <c r="BZ152">
        <v>95</v>
      </c>
      <c r="CA152">
        <v>65</v>
      </c>
      <c r="CF152">
        <v>0</v>
      </c>
      <c r="CG152">
        <v>0</v>
      </c>
      <c r="CM152">
        <v>0</v>
      </c>
      <c r="CN152" t="s">
        <v>3</v>
      </c>
      <c r="CO152">
        <v>0</v>
      </c>
      <c r="CP152">
        <f t="shared" si="157"/>
        <v>838.58</v>
      </c>
      <c r="CQ152">
        <f t="shared" si="158"/>
        <v>1048.23</v>
      </c>
      <c r="CR152">
        <f t="shared" si="159"/>
        <v>0</v>
      </c>
      <c r="CS152">
        <f t="shared" si="160"/>
        <v>0</v>
      </c>
      <c r="CT152">
        <f t="shared" si="161"/>
        <v>0</v>
      </c>
      <c r="CU152">
        <f t="shared" si="162"/>
        <v>0</v>
      </c>
      <c r="CV152">
        <f t="shared" si="163"/>
        <v>0</v>
      </c>
      <c r="CW152">
        <f t="shared" si="164"/>
        <v>0</v>
      </c>
      <c r="CX152">
        <f t="shared" si="165"/>
        <v>0</v>
      </c>
      <c r="CY152">
        <f t="shared" si="166"/>
        <v>0</v>
      </c>
      <c r="CZ152">
        <f t="shared" si="167"/>
        <v>0</v>
      </c>
      <c r="DC152" t="s">
        <v>3</v>
      </c>
      <c r="DD152" t="s">
        <v>3</v>
      </c>
      <c r="DE152" t="s">
        <v>3</v>
      </c>
      <c r="DF152" t="s">
        <v>3</v>
      </c>
      <c r="DG152" t="s">
        <v>3</v>
      </c>
      <c r="DH152" t="s">
        <v>3</v>
      </c>
      <c r="DI152" t="s">
        <v>3</v>
      </c>
      <c r="DJ152" t="s">
        <v>3</v>
      </c>
      <c r="DK152" t="s">
        <v>3</v>
      </c>
      <c r="DL152" t="s">
        <v>3</v>
      </c>
      <c r="DM152" t="s">
        <v>3</v>
      </c>
      <c r="DN152">
        <v>0</v>
      </c>
      <c r="DO152">
        <v>0</v>
      </c>
      <c r="DP152">
        <v>1</v>
      </c>
      <c r="DQ152">
        <v>1</v>
      </c>
      <c r="DU152">
        <v>1003</v>
      </c>
      <c r="DV152" t="s">
        <v>69</v>
      </c>
      <c r="DW152" t="s">
        <v>69</v>
      </c>
      <c r="DX152">
        <v>100</v>
      </c>
      <c r="EE152">
        <v>39174386</v>
      </c>
      <c r="EF152">
        <v>3</v>
      </c>
      <c r="EG152" t="s">
        <v>372</v>
      </c>
      <c r="EH152">
        <v>0</v>
      </c>
      <c r="EI152" t="s">
        <v>3</v>
      </c>
      <c r="EJ152">
        <v>2</v>
      </c>
      <c r="EK152">
        <v>108001</v>
      </c>
      <c r="EL152" t="s">
        <v>373</v>
      </c>
      <c r="EM152" t="s">
        <v>374</v>
      </c>
      <c r="EO152" t="s">
        <v>3</v>
      </c>
      <c r="EQ152">
        <v>0</v>
      </c>
      <c r="ER152">
        <v>171</v>
      </c>
      <c r="ES152">
        <v>171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168"/>
        <v>0</v>
      </c>
      <c r="FS152">
        <v>0</v>
      </c>
      <c r="FX152">
        <v>95</v>
      </c>
      <c r="FY152">
        <v>65</v>
      </c>
      <c r="GA152" t="s">
        <v>3</v>
      </c>
      <c r="GD152">
        <v>0</v>
      </c>
      <c r="GF152">
        <v>-624833396</v>
      </c>
      <c r="GG152">
        <v>1</v>
      </c>
      <c r="GH152">
        <v>1</v>
      </c>
      <c r="GI152">
        <v>4</v>
      </c>
      <c r="GJ152">
        <v>0</v>
      </c>
      <c r="GK152">
        <f>ROUND(R152*(R12)/100,2)</f>
        <v>0</v>
      </c>
      <c r="GL152">
        <f t="shared" si="169"/>
        <v>0</v>
      </c>
      <c r="GM152">
        <f t="shared" si="170"/>
        <v>838.58</v>
      </c>
      <c r="GN152">
        <f t="shared" si="171"/>
        <v>0</v>
      </c>
      <c r="GO152">
        <f t="shared" si="172"/>
        <v>838.58</v>
      </c>
      <c r="GP152">
        <f t="shared" si="173"/>
        <v>0</v>
      </c>
      <c r="GR152">
        <v>0</v>
      </c>
      <c r="GS152">
        <v>3</v>
      </c>
      <c r="GT152">
        <v>0</v>
      </c>
      <c r="GU152" t="s">
        <v>3</v>
      </c>
      <c r="GV152">
        <f t="shared" si="174"/>
        <v>0</v>
      </c>
      <c r="GW152">
        <v>1</v>
      </c>
      <c r="GX152">
        <f t="shared" si="175"/>
        <v>0</v>
      </c>
      <c r="HA152">
        <v>0</v>
      </c>
      <c r="HB152">
        <v>0</v>
      </c>
      <c r="IK152">
        <v>0</v>
      </c>
    </row>
    <row r="153" spans="1:245" x14ac:dyDescent="0.2">
      <c r="A153">
        <v>17</v>
      </c>
      <c r="B153">
        <v>1</v>
      </c>
      <c r="C153">
        <f>ROW(SmtRes!A365)</f>
        <v>365</v>
      </c>
      <c r="D153">
        <f>ROW(EtalonRes!A339)</f>
        <v>339</v>
      </c>
      <c r="E153" t="s">
        <v>451</v>
      </c>
      <c r="F153" t="s">
        <v>452</v>
      </c>
      <c r="G153" t="s">
        <v>453</v>
      </c>
      <c r="H153" t="s">
        <v>69</v>
      </c>
      <c r="I153">
        <f>ROUND(16/100,9)</f>
        <v>0.16</v>
      </c>
      <c r="J153">
        <v>0</v>
      </c>
      <c r="O153">
        <f t="shared" si="142"/>
        <v>240.42</v>
      </c>
      <c r="P153">
        <f t="shared" si="143"/>
        <v>68.59</v>
      </c>
      <c r="Q153">
        <f t="shared" si="144"/>
        <v>0.3</v>
      </c>
      <c r="R153">
        <f t="shared" si="145"/>
        <v>0.14000000000000001</v>
      </c>
      <c r="S153">
        <f t="shared" si="146"/>
        <v>171.53</v>
      </c>
      <c r="T153">
        <f t="shared" si="147"/>
        <v>0</v>
      </c>
      <c r="U153">
        <f t="shared" si="148"/>
        <v>2.9424000000000001</v>
      </c>
      <c r="V153">
        <f t="shared" si="149"/>
        <v>1.6000000000000001E-3</v>
      </c>
      <c r="W153">
        <f t="shared" si="150"/>
        <v>0</v>
      </c>
      <c r="X153">
        <f t="shared" si="151"/>
        <v>163.09</v>
      </c>
      <c r="Y153">
        <f t="shared" si="152"/>
        <v>111.59</v>
      </c>
      <c r="AA153">
        <v>39476960</v>
      </c>
      <c r="AB153">
        <f t="shared" si="153"/>
        <v>245.13</v>
      </c>
      <c r="AC153">
        <f t="shared" si="154"/>
        <v>69.930000000000007</v>
      </c>
      <c r="AD153">
        <f>ROUND((((ET153)-(EU153))+AE153),2)</f>
        <v>0.31</v>
      </c>
      <c r="AE153">
        <f t="shared" si="178"/>
        <v>0.14000000000000001</v>
      </c>
      <c r="AF153">
        <f t="shared" si="178"/>
        <v>174.89</v>
      </c>
      <c r="AG153">
        <f t="shared" si="155"/>
        <v>0</v>
      </c>
      <c r="AH153">
        <f t="shared" si="179"/>
        <v>18.39</v>
      </c>
      <c r="AI153">
        <f t="shared" si="179"/>
        <v>0.01</v>
      </c>
      <c r="AJ153">
        <f t="shared" si="156"/>
        <v>0</v>
      </c>
      <c r="AK153">
        <v>245.13</v>
      </c>
      <c r="AL153">
        <v>69.930000000000007</v>
      </c>
      <c r="AM153">
        <v>0.31</v>
      </c>
      <c r="AN153">
        <v>0.14000000000000001</v>
      </c>
      <c r="AO153">
        <v>174.89</v>
      </c>
      <c r="AP153">
        <v>0</v>
      </c>
      <c r="AQ153">
        <v>18.39</v>
      </c>
      <c r="AR153">
        <v>0.01</v>
      </c>
      <c r="AS153">
        <v>0</v>
      </c>
      <c r="AT153">
        <v>95</v>
      </c>
      <c r="AU153">
        <v>65</v>
      </c>
      <c r="AV153">
        <v>1</v>
      </c>
      <c r="AW153">
        <v>1</v>
      </c>
      <c r="AZ153">
        <v>6.13</v>
      </c>
      <c r="BA153">
        <v>6.13</v>
      </c>
      <c r="BB153">
        <v>6.13</v>
      </c>
      <c r="BC153">
        <v>6.13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2</v>
      </c>
      <c r="BJ153" t="s">
        <v>454</v>
      </c>
      <c r="BM153">
        <v>108001</v>
      </c>
      <c r="BN153">
        <v>0</v>
      </c>
      <c r="BO153" t="s">
        <v>3</v>
      </c>
      <c r="BP153">
        <v>0</v>
      </c>
      <c r="BQ153">
        <v>3</v>
      </c>
      <c r="BR153">
        <v>0</v>
      </c>
      <c r="BS153">
        <v>6.13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95</v>
      </c>
      <c r="CA153">
        <v>65</v>
      </c>
      <c r="CF153">
        <v>0</v>
      </c>
      <c r="CG153">
        <v>0</v>
      </c>
      <c r="CM153">
        <v>0</v>
      </c>
      <c r="CN153" t="s">
        <v>3</v>
      </c>
      <c r="CO153">
        <v>0</v>
      </c>
      <c r="CP153">
        <f t="shared" si="157"/>
        <v>240.42000000000002</v>
      </c>
      <c r="CQ153">
        <f t="shared" si="158"/>
        <v>428.67090000000002</v>
      </c>
      <c r="CR153">
        <f t="shared" si="159"/>
        <v>1.9002999999999999</v>
      </c>
      <c r="CS153">
        <f t="shared" si="160"/>
        <v>0.85820000000000007</v>
      </c>
      <c r="CT153">
        <f t="shared" si="161"/>
        <v>1072.0756999999999</v>
      </c>
      <c r="CU153">
        <f t="shared" si="162"/>
        <v>0</v>
      </c>
      <c r="CV153">
        <f t="shared" si="163"/>
        <v>18.39</v>
      </c>
      <c r="CW153">
        <f t="shared" si="164"/>
        <v>0.01</v>
      </c>
      <c r="CX153">
        <f t="shared" si="165"/>
        <v>0</v>
      </c>
      <c r="CY153">
        <f t="shared" si="166"/>
        <v>163.0865</v>
      </c>
      <c r="CZ153">
        <f t="shared" si="167"/>
        <v>111.5855</v>
      </c>
      <c r="DC153" t="s">
        <v>3</v>
      </c>
      <c r="DD153" t="s">
        <v>3</v>
      </c>
      <c r="DE153" t="s">
        <v>3</v>
      </c>
      <c r="DF153" t="s">
        <v>3</v>
      </c>
      <c r="DG153" t="s">
        <v>3</v>
      </c>
      <c r="DH153" t="s">
        <v>3</v>
      </c>
      <c r="DI153" t="s">
        <v>3</v>
      </c>
      <c r="DJ153" t="s">
        <v>3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1003</v>
      </c>
      <c r="DV153" t="s">
        <v>69</v>
      </c>
      <c r="DW153" t="s">
        <v>69</v>
      </c>
      <c r="DX153">
        <v>100</v>
      </c>
      <c r="EE153">
        <v>39174386</v>
      </c>
      <c r="EF153">
        <v>3</v>
      </c>
      <c r="EG153" t="s">
        <v>372</v>
      </c>
      <c r="EH153">
        <v>0</v>
      </c>
      <c r="EI153" t="s">
        <v>3</v>
      </c>
      <c r="EJ153">
        <v>2</v>
      </c>
      <c r="EK153">
        <v>108001</v>
      </c>
      <c r="EL153" t="s">
        <v>373</v>
      </c>
      <c r="EM153" t="s">
        <v>374</v>
      </c>
      <c r="EO153" t="s">
        <v>3</v>
      </c>
      <c r="EQ153">
        <v>0</v>
      </c>
      <c r="ER153">
        <v>245.13</v>
      </c>
      <c r="ES153">
        <v>69.930000000000007</v>
      </c>
      <c r="ET153">
        <v>0.31</v>
      </c>
      <c r="EU153">
        <v>0.14000000000000001</v>
      </c>
      <c r="EV153">
        <v>174.89</v>
      </c>
      <c r="EW153">
        <v>18.39</v>
      </c>
      <c r="EX153">
        <v>0.01</v>
      </c>
      <c r="EY153">
        <v>0</v>
      </c>
      <c r="FQ153">
        <v>0</v>
      </c>
      <c r="FR153">
        <f t="shared" si="168"/>
        <v>0</v>
      </c>
      <c r="FS153">
        <v>0</v>
      </c>
      <c r="FX153">
        <v>95</v>
      </c>
      <c r="FY153">
        <v>65</v>
      </c>
      <c r="GA153" t="s">
        <v>3</v>
      </c>
      <c r="GD153">
        <v>0</v>
      </c>
      <c r="GF153">
        <v>-689240027</v>
      </c>
      <c r="GG153">
        <v>1</v>
      </c>
      <c r="GH153">
        <v>1</v>
      </c>
      <c r="GI153">
        <v>4</v>
      </c>
      <c r="GJ153">
        <v>0</v>
      </c>
      <c r="GK153">
        <f>ROUND(R153*(R12)/100,2)</f>
        <v>0</v>
      </c>
      <c r="GL153">
        <f t="shared" si="169"/>
        <v>0</v>
      </c>
      <c r="GM153">
        <f t="shared" si="170"/>
        <v>515.1</v>
      </c>
      <c r="GN153">
        <f t="shared" si="171"/>
        <v>0</v>
      </c>
      <c r="GO153">
        <f t="shared" si="172"/>
        <v>515.1</v>
      </c>
      <c r="GP153">
        <f t="shared" si="173"/>
        <v>0</v>
      </c>
      <c r="GR153">
        <v>0</v>
      </c>
      <c r="GS153">
        <v>3</v>
      </c>
      <c r="GT153">
        <v>0</v>
      </c>
      <c r="GU153" t="s">
        <v>3</v>
      </c>
      <c r="GV153">
        <f t="shared" si="174"/>
        <v>0</v>
      </c>
      <c r="GW153">
        <v>1</v>
      </c>
      <c r="GX153">
        <f t="shared" si="175"/>
        <v>0</v>
      </c>
      <c r="HA153">
        <v>0</v>
      </c>
      <c r="HB153">
        <v>0</v>
      </c>
      <c r="IK153">
        <v>0</v>
      </c>
    </row>
    <row r="154" spans="1:245" x14ac:dyDescent="0.2">
      <c r="A154">
        <v>18</v>
      </c>
      <c r="B154">
        <v>1</v>
      </c>
      <c r="C154">
        <v>364</v>
      </c>
      <c r="E154" t="s">
        <v>455</v>
      </c>
      <c r="F154" t="s">
        <v>456</v>
      </c>
      <c r="G154" t="s">
        <v>457</v>
      </c>
      <c r="H154" t="s">
        <v>69</v>
      </c>
      <c r="I154">
        <f>I153*J154</f>
        <v>0.16</v>
      </c>
      <c r="J154">
        <v>1</v>
      </c>
      <c r="O154">
        <f t="shared" si="142"/>
        <v>666.94</v>
      </c>
      <c r="P154">
        <f t="shared" si="143"/>
        <v>666.94</v>
      </c>
      <c r="Q154">
        <f t="shared" si="144"/>
        <v>0</v>
      </c>
      <c r="R154">
        <f t="shared" si="145"/>
        <v>0</v>
      </c>
      <c r="S154">
        <f t="shared" si="146"/>
        <v>0</v>
      </c>
      <c r="T154">
        <f t="shared" si="147"/>
        <v>0</v>
      </c>
      <c r="U154">
        <f t="shared" si="148"/>
        <v>0</v>
      </c>
      <c r="V154">
        <f t="shared" si="149"/>
        <v>0</v>
      </c>
      <c r="W154">
        <f t="shared" si="150"/>
        <v>0</v>
      </c>
      <c r="X154">
        <f t="shared" si="151"/>
        <v>0</v>
      </c>
      <c r="Y154">
        <f t="shared" si="152"/>
        <v>0</v>
      </c>
      <c r="AA154">
        <v>39476960</v>
      </c>
      <c r="AB154">
        <f t="shared" si="153"/>
        <v>680</v>
      </c>
      <c r="AC154">
        <f t="shared" si="154"/>
        <v>680</v>
      </c>
      <c r="AD154">
        <f>ROUND((((ET154)-(EU154))+AE154),2)</f>
        <v>0</v>
      </c>
      <c r="AE154">
        <f t="shared" si="178"/>
        <v>0</v>
      </c>
      <c r="AF154">
        <f t="shared" si="178"/>
        <v>0</v>
      </c>
      <c r="AG154">
        <f t="shared" si="155"/>
        <v>0</v>
      </c>
      <c r="AH154">
        <f t="shared" si="179"/>
        <v>0</v>
      </c>
      <c r="AI154">
        <f t="shared" si="179"/>
        <v>0</v>
      </c>
      <c r="AJ154">
        <f t="shared" si="156"/>
        <v>0</v>
      </c>
      <c r="AK154">
        <v>680</v>
      </c>
      <c r="AL154">
        <v>680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95</v>
      </c>
      <c r="AU154">
        <v>65</v>
      </c>
      <c r="AV154">
        <v>1</v>
      </c>
      <c r="AW154">
        <v>1</v>
      </c>
      <c r="AZ154">
        <v>6.13</v>
      </c>
      <c r="BA154">
        <v>1</v>
      </c>
      <c r="BB154">
        <v>1</v>
      </c>
      <c r="BC154">
        <v>6.13</v>
      </c>
      <c r="BD154" t="s">
        <v>3</v>
      </c>
      <c r="BE154" t="s">
        <v>3</v>
      </c>
      <c r="BF154" t="s">
        <v>3</v>
      </c>
      <c r="BG154" t="s">
        <v>3</v>
      </c>
      <c r="BH154">
        <v>3</v>
      </c>
      <c r="BI154">
        <v>2</v>
      </c>
      <c r="BJ154" t="s">
        <v>458</v>
      </c>
      <c r="BM154">
        <v>108001</v>
      </c>
      <c r="BN154">
        <v>0</v>
      </c>
      <c r="BO154" t="s">
        <v>3</v>
      </c>
      <c r="BP154">
        <v>0</v>
      </c>
      <c r="BQ154">
        <v>3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3</v>
      </c>
      <c r="BZ154">
        <v>95</v>
      </c>
      <c r="CA154">
        <v>65</v>
      </c>
      <c r="CF154">
        <v>0</v>
      </c>
      <c r="CG154">
        <v>0</v>
      </c>
      <c r="CM154">
        <v>0</v>
      </c>
      <c r="CN154" t="s">
        <v>3</v>
      </c>
      <c r="CO154">
        <v>0</v>
      </c>
      <c r="CP154">
        <f t="shared" si="157"/>
        <v>666.94</v>
      </c>
      <c r="CQ154">
        <f t="shared" si="158"/>
        <v>4168.3999999999996</v>
      </c>
      <c r="CR154">
        <f t="shared" si="159"/>
        <v>0</v>
      </c>
      <c r="CS154">
        <f t="shared" si="160"/>
        <v>0</v>
      </c>
      <c r="CT154">
        <f t="shared" si="161"/>
        <v>0</v>
      </c>
      <c r="CU154">
        <f t="shared" si="162"/>
        <v>0</v>
      </c>
      <c r="CV154">
        <f t="shared" si="163"/>
        <v>0</v>
      </c>
      <c r="CW154">
        <f t="shared" si="164"/>
        <v>0</v>
      </c>
      <c r="CX154">
        <f t="shared" si="165"/>
        <v>0</v>
      </c>
      <c r="CY154">
        <f t="shared" si="166"/>
        <v>0</v>
      </c>
      <c r="CZ154">
        <f t="shared" si="167"/>
        <v>0</v>
      </c>
      <c r="DC154" t="s">
        <v>3</v>
      </c>
      <c r="DD154" t="s">
        <v>3</v>
      </c>
      <c r="DE154" t="s">
        <v>3</v>
      </c>
      <c r="DF154" t="s">
        <v>3</v>
      </c>
      <c r="DG154" t="s">
        <v>3</v>
      </c>
      <c r="DH154" t="s">
        <v>3</v>
      </c>
      <c r="DI154" t="s">
        <v>3</v>
      </c>
      <c r="DJ154" t="s">
        <v>3</v>
      </c>
      <c r="DK154" t="s">
        <v>3</v>
      </c>
      <c r="DL154" t="s">
        <v>3</v>
      </c>
      <c r="DM154" t="s">
        <v>3</v>
      </c>
      <c r="DN154">
        <v>0</v>
      </c>
      <c r="DO154">
        <v>0</v>
      </c>
      <c r="DP154">
        <v>1</v>
      </c>
      <c r="DQ154">
        <v>1</v>
      </c>
      <c r="DU154">
        <v>1003</v>
      </c>
      <c r="DV154" t="s">
        <v>69</v>
      </c>
      <c r="DW154" t="s">
        <v>69</v>
      </c>
      <c r="DX154">
        <v>100</v>
      </c>
      <c r="EE154">
        <v>39174386</v>
      </c>
      <c r="EF154">
        <v>3</v>
      </c>
      <c r="EG154" t="s">
        <v>372</v>
      </c>
      <c r="EH154">
        <v>0</v>
      </c>
      <c r="EI154" t="s">
        <v>3</v>
      </c>
      <c r="EJ154">
        <v>2</v>
      </c>
      <c r="EK154">
        <v>108001</v>
      </c>
      <c r="EL154" t="s">
        <v>373</v>
      </c>
      <c r="EM154" t="s">
        <v>374</v>
      </c>
      <c r="EO154" t="s">
        <v>3</v>
      </c>
      <c r="EQ154">
        <v>0</v>
      </c>
      <c r="ER154">
        <v>680</v>
      </c>
      <c r="ES154">
        <v>680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168"/>
        <v>0</v>
      </c>
      <c r="FS154">
        <v>0</v>
      </c>
      <c r="FX154">
        <v>95</v>
      </c>
      <c r="FY154">
        <v>65</v>
      </c>
      <c r="GA154" t="s">
        <v>3</v>
      </c>
      <c r="GD154">
        <v>0</v>
      </c>
      <c r="GF154">
        <v>-518315028</v>
      </c>
      <c r="GG154">
        <v>1</v>
      </c>
      <c r="GH154">
        <v>1</v>
      </c>
      <c r="GI154">
        <v>4</v>
      </c>
      <c r="GJ154">
        <v>0</v>
      </c>
      <c r="GK154">
        <f>ROUND(R154*(R12)/100,2)</f>
        <v>0</v>
      </c>
      <c r="GL154">
        <f t="shared" si="169"/>
        <v>0</v>
      </c>
      <c r="GM154">
        <f t="shared" si="170"/>
        <v>666.94</v>
      </c>
      <c r="GN154">
        <f t="shared" si="171"/>
        <v>0</v>
      </c>
      <c r="GO154">
        <f t="shared" si="172"/>
        <v>666.94</v>
      </c>
      <c r="GP154">
        <f t="shared" si="173"/>
        <v>0</v>
      </c>
      <c r="GR154">
        <v>0</v>
      </c>
      <c r="GS154">
        <v>3</v>
      </c>
      <c r="GT154">
        <v>0</v>
      </c>
      <c r="GU154" t="s">
        <v>3</v>
      </c>
      <c r="GV154">
        <f t="shared" si="174"/>
        <v>0</v>
      </c>
      <c r="GW154">
        <v>1</v>
      </c>
      <c r="GX154">
        <f t="shared" si="175"/>
        <v>0</v>
      </c>
      <c r="HA154">
        <v>0</v>
      </c>
      <c r="HB154">
        <v>0</v>
      </c>
      <c r="IK154">
        <v>0</v>
      </c>
    </row>
    <row r="155" spans="1:245" x14ac:dyDescent="0.2">
      <c r="A155">
        <v>17</v>
      </c>
      <c r="B155">
        <v>1</v>
      </c>
      <c r="C155">
        <f>ROW(SmtRes!A369)</f>
        <v>369</v>
      </c>
      <c r="D155">
        <f>ROW(EtalonRes!A342)</f>
        <v>342</v>
      </c>
      <c r="E155" t="s">
        <v>459</v>
      </c>
      <c r="F155" t="s">
        <v>460</v>
      </c>
      <c r="G155" t="s">
        <v>461</v>
      </c>
      <c r="H155" t="s">
        <v>69</v>
      </c>
      <c r="I155">
        <f>ROUND(80/100,9)</f>
        <v>0.8</v>
      </c>
      <c r="J155">
        <v>0</v>
      </c>
      <c r="O155">
        <f t="shared" si="142"/>
        <v>903.51</v>
      </c>
      <c r="P155">
        <f t="shared" si="143"/>
        <v>82.34</v>
      </c>
      <c r="Q155">
        <f t="shared" si="144"/>
        <v>0</v>
      </c>
      <c r="R155">
        <f t="shared" si="145"/>
        <v>0</v>
      </c>
      <c r="S155">
        <f t="shared" si="146"/>
        <v>821.17</v>
      </c>
      <c r="T155">
        <f t="shared" si="147"/>
        <v>0</v>
      </c>
      <c r="U155">
        <f t="shared" si="148"/>
        <v>14.591999999999999</v>
      </c>
      <c r="V155">
        <f t="shared" si="149"/>
        <v>0</v>
      </c>
      <c r="W155">
        <f t="shared" si="150"/>
        <v>0</v>
      </c>
      <c r="X155">
        <f t="shared" si="151"/>
        <v>780.11</v>
      </c>
      <c r="Y155">
        <f t="shared" si="152"/>
        <v>533.76</v>
      </c>
      <c r="AA155">
        <v>39476960</v>
      </c>
      <c r="AB155">
        <f t="shared" si="153"/>
        <v>184.24</v>
      </c>
      <c r="AC155">
        <f t="shared" si="154"/>
        <v>16.79</v>
      </c>
      <c r="AD155">
        <f>ROUND(((((ET155*1.2))-((EU155*1.2)))+AE155),2)</f>
        <v>0</v>
      </c>
      <c r="AE155">
        <f>ROUND(((EU155*1.2)),2)</f>
        <v>0</v>
      </c>
      <c r="AF155">
        <f>ROUND(((EV155*1.2)),2)</f>
        <v>167.45</v>
      </c>
      <c r="AG155">
        <f t="shared" si="155"/>
        <v>0</v>
      </c>
      <c r="AH155">
        <f>((EW155*1.2))</f>
        <v>18.239999999999998</v>
      </c>
      <c r="AI155">
        <f>((EX155*1.2))</f>
        <v>0</v>
      </c>
      <c r="AJ155">
        <f t="shared" si="156"/>
        <v>0</v>
      </c>
      <c r="AK155">
        <v>156.33000000000001</v>
      </c>
      <c r="AL155">
        <v>16.79</v>
      </c>
      <c r="AM155">
        <v>0</v>
      </c>
      <c r="AN155">
        <v>0</v>
      </c>
      <c r="AO155">
        <v>139.54</v>
      </c>
      <c r="AP155">
        <v>0</v>
      </c>
      <c r="AQ155">
        <v>15.2</v>
      </c>
      <c r="AR155">
        <v>0</v>
      </c>
      <c r="AS155">
        <v>0</v>
      </c>
      <c r="AT155">
        <v>95</v>
      </c>
      <c r="AU155">
        <v>65</v>
      </c>
      <c r="AV155">
        <v>1</v>
      </c>
      <c r="AW155">
        <v>1</v>
      </c>
      <c r="AZ155">
        <v>6.13</v>
      </c>
      <c r="BA155">
        <v>6.13</v>
      </c>
      <c r="BB155">
        <v>6.13</v>
      </c>
      <c r="BC155">
        <v>6.13</v>
      </c>
      <c r="BD155" t="s">
        <v>3</v>
      </c>
      <c r="BE155" t="s">
        <v>3</v>
      </c>
      <c r="BF155" t="s">
        <v>3</v>
      </c>
      <c r="BG155" t="s">
        <v>3</v>
      </c>
      <c r="BH155">
        <v>0</v>
      </c>
      <c r="BI155">
        <v>2</v>
      </c>
      <c r="BJ155" t="s">
        <v>462</v>
      </c>
      <c r="BM155">
        <v>108001</v>
      </c>
      <c r="BN155">
        <v>0</v>
      </c>
      <c r="BO155" t="s">
        <v>3</v>
      </c>
      <c r="BP155">
        <v>0</v>
      </c>
      <c r="BQ155">
        <v>3</v>
      </c>
      <c r="BR155">
        <v>0</v>
      </c>
      <c r="BS155">
        <v>6.13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95</v>
      </c>
      <c r="CA155">
        <v>65</v>
      </c>
      <c r="CF155">
        <v>0</v>
      </c>
      <c r="CG155">
        <v>0</v>
      </c>
      <c r="CM155">
        <v>0</v>
      </c>
      <c r="CN155" t="s">
        <v>370</v>
      </c>
      <c r="CO155">
        <v>0</v>
      </c>
      <c r="CP155">
        <f t="shared" si="157"/>
        <v>903.51</v>
      </c>
      <c r="CQ155">
        <f t="shared" si="158"/>
        <v>102.92269999999999</v>
      </c>
      <c r="CR155">
        <f t="shared" si="159"/>
        <v>0</v>
      </c>
      <c r="CS155">
        <f t="shared" si="160"/>
        <v>0</v>
      </c>
      <c r="CT155">
        <f t="shared" si="161"/>
        <v>1026.4684999999999</v>
      </c>
      <c r="CU155">
        <f t="shared" si="162"/>
        <v>0</v>
      </c>
      <c r="CV155">
        <f t="shared" si="163"/>
        <v>18.239999999999998</v>
      </c>
      <c r="CW155">
        <f t="shared" si="164"/>
        <v>0</v>
      </c>
      <c r="CX155">
        <f t="shared" si="165"/>
        <v>0</v>
      </c>
      <c r="CY155">
        <f t="shared" si="166"/>
        <v>780.11149999999998</v>
      </c>
      <c r="CZ155">
        <f t="shared" si="167"/>
        <v>533.76049999999998</v>
      </c>
      <c r="DC155" t="s">
        <v>3</v>
      </c>
      <c r="DD155" t="s">
        <v>3</v>
      </c>
      <c r="DE155" t="s">
        <v>371</v>
      </c>
      <c r="DF155" t="s">
        <v>371</v>
      </c>
      <c r="DG155" t="s">
        <v>371</v>
      </c>
      <c r="DH155" t="s">
        <v>3</v>
      </c>
      <c r="DI155" t="s">
        <v>371</v>
      </c>
      <c r="DJ155" t="s">
        <v>371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1003</v>
      </c>
      <c r="DV155" t="s">
        <v>69</v>
      </c>
      <c r="DW155" t="s">
        <v>69</v>
      </c>
      <c r="DX155">
        <v>100</v>
      </c>
      <c r="EE155">
        <v>39174386</v>
      </c>
      <c r="EF155">
        <v>3</v>
      </c>
      <c r="EG155" t="s">
        <v>372</v>
      </c>
      <c r="EH155">
        <v>0</v>
      </c>
      <c r="EI155" t="s">
        <v>3</v>
      </c>
      <c r="EJ155">
        <v>2</v>
      </c>
      <c r="EK155">
        <v>108001</v>
      </c>
      <c r="EL155" t="s">
        <v>373</v>
      </c>
      <c r="EM155" t="s">
        <v>374</v>
      </c>
      <c r="EO155" t="s">
        <v>375</v>
      </c>
      <c r="EQ155">
        <v>0</v>
      </c>
      <c r="ER155">
        <v>156.33000000000001</v>
      </c>
      <c r="ES155">
        <v>16.79</v>
      </c>
      <c r="ET155">
        <v>0</v>
      </c>
      <c r="EU155">
        <v>0</v>
      </c>
      <c r="EV155">
        <v>139.54</v>
      </c>
      <c r="EW155">
        <v>15.2</v>
      </c>
      <c r="EX155">
        <v>0</v>
      </c>
      <c r="EY155">
        <v>0</v>
      </c>
      <c r="FQ155">
        <v>0</v>
      </c>
      <c r="FR155">
        <f t="shared" si="168"/>
        <v>0</v>
      </c>
      <c r="FS155">
        <v>0</v>
      </c>
      <c r="FX155">
        <v>95</v>
      </c>
      <c r="FY155">
        <v>65</v>
      </c>
      <c r="GA155" t="s">
        <v>3</v>
      </c>
      <c r="GD155">
        <v>0</v>
      </c>
      <c r="GF155">
        <v>-596386547</v>
      </c>
      <c r="GG155">
        <v>1</v>
      </c>
      <c r="GH155">
        <v>1</v>
      </c>
      <c r="GI155">
        <v>4</v>
      </c>
      <c r="GJ155">
        <v>0</v>
      </c>
      <c r="GK155">
        <f>ROUND(R155*(R12)/100,2)</f>
        <v>0</v>
      </c>
      <c r="GL155">
        <f t="shared" si="169"/>
        <v>0</v>
      </c>
      <c r="GM155">
        <f t="shared" si="170"/>
        <v>2217.38</v>
      </c>
      <c r="GN155">
        <f t="shared" si="171"/>
        <v>0</v>
      </c>
      <c r="GO155">
        <f t="shared" si="172"/>
        <v>2217.38</v>
      </c>
      <c r="GP155">
        <f t="shared" si="173"/>
        <v>0</v>
      </c>
      <c r="GR155">
        <v>0</v>
      </c>
      <c r="GS155">
        <v>3</v>
      </c>
      <c r="GT155">
        <v>0</v>
      </c>
      <c r="GU155" t="s">
        <v>3</v>
      </c>
      <c r="GV155">
        <f t="shared" si="174"/>
        <v>0</v>
      </c>
      <c r="GW155">
        <v>1</v>
      </c>
      <c r="GX155">
        <f t="shared" si="175"/>
        <v>0</v>
      </c>
      <c r="HA155">
        <v>0</v>
      </c>
      <c r="HB155">
        <v>0</v>
      </c>
      <c r="IK155">
        <v>0</v>
      </c>
    </row>
    <row r="156" spans="1:245" x14ac:dyDescent="0.2">
      <c r="A156">
        <v>18</v>
      </c>
      <c r="B156">
        <v>1</v>
      </c>
      <c r="C156">
        <v>368</v>
      </c>
      <c r="E156" t="s">
        <v>463</v>
      </c>
      <c r="F156" t="s">
        <v>464</v>
      </c>
      <c r="G156" t="s">
        <v>465</v>
      </c>
      <c r="H156" t="s">
        <v>466</v>
      </c>
      <c r="I156">
        <f>I155*J156</f>
        <v>8</v>
      </c>
      <c r="J156">
        <v>10</v>
      </c>
      <c r="O156">
        <f t="shared" si="142"/>
        <v>608.1</v>
      </c>
      <c r="P156">
        <f t="shared" si="143"/>
        <v>608.1</v>
      </c>
      <c r="Q156">
        <f t="shared" si="144"/>
        <v>0</v>
      </c>
      <c r="R156">
        <f t="shared" si="145"/>
        <v>0</v>
      </c>
      <c r="S156">
        <f t="shared" si="146"/>
        <v>0</v>
      </c>
      <c r="T156">
        <f t="shared" si="147"/>
        <v>0</v>
      </c>
      <c r="U156">
        <f t="shared" si="148"/>
        <v>0</v>
      </c>
      <c r="V156">
        <f t="shared" si="149"/>
        <v>0</v>
      </c>
      <c r="W156">
        <f t="shared" si="150"/>
        <v>0</v>
      </c>
      <c r="X156">
        <f t="shared" si="151"/>
        <v>0</v>
      </c>
      <c r="Y156">
        <f t="shared" si="152"/>
        <v>0</v>
      </c>
      <c r="AA156">
        <v>39476960</v>
      </c>
      <c r="AB156">
        <f t="shared" si="153"/>
        <v>12.4</v>
      </c>
      <c r="AC156">
        <f t="shared" si="154"/>
        <v>12.4</v>
      </c>
      <c r="AD156">
        <f>ROUND((((ET156)-(EU156))+AE156),2)</f>
        <v>0</v>
      </c>
      <c r="AE156">
        <f>ROUND((EU156),2)</f>
        <v>0</v>
      </c>
      <c r="AF156">
        <f>ROUND((EV156),2)</f>
        <v>0</v>
      </c>
      <c r="AG156">
        <f t="shared" si="155"/>
        <v>0</v>
      </c>
      <c r="AH156">
        <f>(EW156)</f>
        <v>0</v>
      </c>
      <c r="AI156">
        <f>(EX156)</f>
        <v>0</v>
      </c>
      <c r="AJ156">
        <f t="shared" si="156"/>
        <v>0</v>
      </c>
      <c r="AK156">
        <v>12.4</v>
      </c>
      <c r="AL156">
        <v>12.4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95</v>
      </c>
      <c r="AU156">
        <v>65</v>
      </c>
      <c r="AV156">
        <v>1</v>
      </c>
      <c r="AW156">
        <v>1</v>
      </c>
      <c r="AZ156">
        <v>6.13</v>
      </c>
      <c r="BA156">
        <v>1</v>
      </c>
      <c r="BB156">
        <v>1</v>
      </c>
      <c r="BC156">
        <v>6.13</v>
      </c>
      <c r="BD156" t="s">
        <v>3</v>
      </c>
      <c r="BE156" t="s">
        <v>3</v>
      </c>
      <c r="BF156" t="s">
        <v>3</v>
      </c>
      <c r="BG156" t="s">
        <v>3</v>
      </c>
      <c r="BH156">
        <v>3</v>
      </c>
      <c r="BI156">
        <v>2</v>
      </c>
      <c r="BJ156" t="s">
        <v>467</v>
      </c>
      <c r="BM156">
        <v>108001</v>
      </c>
      <c r="BN156">
        <v>0</v>
      </c>
      <c r="BO156" t="s">
        <v>3</v>
      </c>
      <c r="BP156">
        <v>0</v>
      </c>
      <c r="BQ156">
        <v>3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3</v>
      </c>
      <c r="BZ156">
        <v>95</v>
      </c>
      <c r="CA156">
        <v>65</v>
      </c>
      <c r="CF156">
        <v>0</v>
      </c>
      <c r="CG156">
        <v>0</v>
      </c>
      <c r="CM156">
        <v>0</v>
      </c>
      <c r="CN156" t="s">
        <v>3</v>
      </c>
      <c r="CO156">
        <v>0</v>
      </c>
      <c r="CP156">
        <f t="shared" si="157"/>
        <v>608.1</v>
      </c>
      <c r="CQ156">
        <f t="shared" si="158"/>
        <v>76.012</v>
      </c>
      <c r="CR156">
        <f t="shared" si="159"/>
        <v>0</v>
      </c>
      <c r="CS156">
        <f t="shared" si="160"/>
        <v>0</v>
      </c>
      <c r="CT156">
        <f t="shared" si="161"/>
        <v>0</v>
      </c>
      <c r="CU156">
        <f t="shared" si="162"/>
        <v>0</v>
      </c>
      <c r="CV156">
        <f t="shared" si="163"/>
        <v>0</v>
      </c>
      <c r="CW156">
        <f t="shared" si="164"/>
        <v>0</v>
      </c>
      <c r="CX156">
        <f t="shared" si="165"/>
        <v>0</v>
      </c>
      <c r="CY156">
        <f t="shared" si="166"/>
        <v>0</v>
      </c>
      <c r="CZ156">
        <f t="shared" si="167"/>
        <v>0</v>
      </c>
      <c r="DC156" t="s">
        <v>3</v>
      </c>
      <c r="DD156" t="s">
        <v>3</v>
      </c>
      <c r="DE156" t="s">
        <v>3</v>
      </c>
      <c r="DF156" t="s">
        <v>3</v>
      </c>
      <c r="DG156" t="s">
        <v>3</v>
      </c>
      <c r="DH156" t="s">
        <v>3</v>
      </c>
      <c r="DI156" t="s">
        <v>3</v>
      </c>
      <c r="DJ156" t="s">
        <v>3</v>
      </c>
      <c r="DK156" t="s">
        <v>3</v>
      </c>
      <c r="DL156" t="s">
        <v>3</v>
      </c>
      <c r="DM156" t="s">
        <v>3</v>
      </c>
      <c r="DN156">
        <v>0</v>
      </c>
      <c r="DO156">
        <v>0</v>
      </c>
      <c r="DP156">
        <v>1</v>
      </c>
      <c r="DQ156">
        <v>1</v>
      </c>
      <c r="DU156">
        <v>1003</v>
      </c>
      <c r="DV156" t="s">
        <v>466</v>
      </c>
      <c r="DW156" t="s">
        <v>466</v>
      </c>
      <c r="DX156">
        <v>10</v>
      </c>
      <c r="EE156">
        <v>39174386</v>
      </c>
      <c r="EF156">
        <v>3</v>
      </c>
      <c r="EG156" t="s">
        <v>372</v>
      </c>
      <c r="EH156">
        <v>0</v>
      </c>
      <c r="EI156" t="s">
        <v>3</v>
      </c>
      <c r="EJ156">
        <v>2</v>
      </c>
      <c r="EK156">
        <v>108001</v>
      </c>
      <c r="EL156" t="s">
        <v>373</v>
      </c>
      <c r="EM156" t="s">
        <v>374</v>
      </c>
      <c r="EO156" t="s">
        <v>3</v>
      </c>
      <c r="EQ156">
        <v>0</v>
      </c>
      <c r="ER156">
        <v>12.4</v>
      </c>
      <c r="ES156">
        <v>12.4</v>
      </c>
      <c r="ET156">
        <v>0</v>
      </c>
      <c r="EU156">
        <v>0</v>
      </c>
      <c r="EV156">
        <v>0</v>
      </c>
      <c r="EW156">
        <v>0</v>
      </c>
      <c r="EX156">
        <v>0</v>
      </c>
      <c r="FQ156">
        <v>0</v>
      </c>
      <c r="FR156">
        <f t="shared" si="168"/>
        <v>0</v>
      </c>
      <c r="FS156">
        <v>0</v>
      </c>
      <c r="FX156">
        <v>95</v>
      </c>
      <c r="FY156">
        <v>65</v>
      </c>
      <c r="GA156" t="s">
        <v>3</v>
      </c>
      <c r="GD156">
        <v>0</v>
      </c>
      <c r="GF156">
        <v>-1803119937</v>
      </c>
      <c r="GG156">
        <v>1</v>
      </c>
      <c r="GH156">
        <v>1</v>
      </c>
      <c r="GI156">
        <v>4</v>
      </c>
      <c r="GJ156">
        <v>0</v>
      </c>
      <c r="GK156">
        <f>ROUND(R156*(R12)/100,2)</f>
        <v>0</v>
      </c>
      <c r="GL156">
        <f t="shared" si="169"/>
        <v>0</v>
      </c>
      <c r="GM156">
        <f t="shared" si="170"/>
        <v>608.1</v>
      </c>
      <c r="GN156">
        <f t="shared" si="171"/>
        <v>0</v>
      </c>
      <c r="GO156">
        <f t="shared" si="172"/>
        <v>608.1</v>
      </c>
      <c r="GP156">
        <f t="shared" si="173"/>
        <v>0</v>
      </c>
      <c r="GR156">
        <v>0</v>
      </c>
      <c r="GS156">
        <v>3</v>
      </c>
      <c r="GT156">
        <v>0</v>
      </c>
      <c r="GU156" t="s">
        <v>3</v>
      </c>
      <c r="GV156">
        <f t="shared" si="174"/>
        <v>0</v>
      </c>
      <c r="GW156">
        <v>1</v>
      </c>
      <c r="GX156">
        <f t="shared" si="175"/>
        <v>0</v>
      </c>
      <c r="HA156">
        <v>0</v>
      </c>
      <c r="HB156">
        <v>0</v>
      </c>
      <c r="IK156">
        <v>0</v>
      </c>
    </row>
    <row r="157" spans="1:245" x14ac:dyDescent="0.2">
      <c r="A157">
        <v>17</v>
      </c>
      <c r="B157">
        <v>1</v>
      </c>
      <c r="C157">
        <f>ROW(SmtRes!A377)</f>
        <v>377</v>
      </c>
      <c r="D157">
        <f>ROW(EtalonRes!A349)</f>
        <v>349</v>
      </c>
      <c r="E157" t="s">
        <v>468</v>
      </c>
      <c r="F157" t="s">
        <v>469</v>
      </c>
      <c r="G157" t="s">
        <v>470</v>
      </c>
      <c r="H157" t="s">
        <v>424</v>
      </c>
      <c r="I157">
        <f>ROUND(24/100,9)</f>
        <v>0.24</v>
      </c>
      <c r="J157">
        <v>0</v>
      </c>
      <c r="O157">
        <f t="shared" si="142"/>
        <v>2894.95</v>
      </c>
      <c r="P157">
        <f t="shared" si="143"/>
        <v>208.87</v>
      </c>
      <c r="Q157">
        <f t="shared" si="144"/>
        <v>94.13</v>
      </c>
      <c r="R157">
        <f t="shared" si="145"/>
        <v>13.3</v>
      </c>
      <c r="S157">
        <f t="shared" si="146"/>
        <v>2591.9499999999998</v>
      </c>
      <c r="T157">
        <f t="shared" si="147"/>
        <v>0</v>
      </c>
      <c r="U157">
        <f t="shared" si="148"/>
        <v>42.623999999999995</v>
      </c>
      <c r="V157">
        <f t="shared" si="149"/>
        <v>0.17279999999999998</v>
      </c>
      <c r="W157">
        <f t="shared" si="150"/>
        <v>0</v>
      </c>
      <c r="X157">
        <f t="shared" si="151"/>
        <v>2474.9899999999998</v>
      </c>
      <c r="Y157">
        <f t="shared" si="152"/>
        <v>1693.41</v>
      </c>
      <c r="AA157">
        <v>39476960</v>
      </c>
      <c r="AB157">
        <f t="shared" si="153"/>
        <v>1967.74</v>
      </c>
      <c r="AC157">
        <f t="shared" si="154"/>
        <v>141.97</v>
      </c>
      <c r="AD157">
        <f>ROUND(((((ET157*1.2))-((EU157*1.2)))+AE157),2)</f>
        <v>63.98</v>
      </c>
      <c r="AE157">
        <f>ROUND(((EU157*1.2)),2)</f>
        <v>9.0399999999999991</v>
      </c>
      <c r="AF157">
        <f>ROUND(((EV157*1.2)),2)</f>
        <v>1761.79</v>
      </c>
      <c r="AG157">
        <f t="shared" si="155"/>
        <v>0</v>
      </c>
      <c r="AH157">
        <f>((EW157*1.2))</f>
        <v>177.6</v>
      </c>
      <c r="AI157">
        <f>((EX157*1.2))</f>
        <v>0.72</v>
      </c>
      <c r="AJ157">
        <f t="shared" si="156"/>
        <v>0</v>
      </c>
      <c r="AK157">
        <v>1663.44</v>
      </c>
      <c r="AL157">
        <v>141.97</v>
      </c>
      <c r="AM157">
        <v>53.31</v>
      </c>
      <c r="AN157">
        <v>7.53</v>
      </c>
      <c r="AO157">
        <v>1468.16</v>
      </c>
      <c r="AP157">
        <v>0</v>
      </c>
      <c r="AQ157">
        <v>148</v>
      </c>
      <c r="AR157">
        <v>0.6</v>
      </c>
      <c r="AS157">
        <v>0</v>
      </c>
      <c r="AT157">
        <v>95</v>
      </c>
      <c r="AU157">
        <v>65</v>
      </c>
      <c r="AV157">
        <v>1</v>
      </c>
      <c r="AW157">
        <v>1</v>
      </c>
      <c r="AZ157">
        <v>6.13</v>
      </c>
      <c r="BA157">
        <v>6.13</v>
      </c>
      <c r="BB157">
        <v>6.13</v>
      </c>
      <c r="BC157">
        <v>6.13</v>
      </c>
      <c r="BD157" t="s">
        <v>3</v>
      </c>
      <c r="BE157" t="s">
        <v>3</v>
      </c>
      <c r="BF157" t="s">
        <v>3</v>
      </c>
      <c r="BG157" t="s">
        <v>3</v>
      </c>
      <c r="BH157">
        <v>0</v>
      </c>
      <c r="BI157">
        <v>2</v>
      </c>
      <c r="BJ157" t="s">
        <v>471</v>
      </c>
      <c r="BM157">
        <v>108001</v>
      </c>
      <c r="BN157">
        <v>0</v>
      </c>
      <c r="BO157" t="s">
        <v>3</v>
      </c>
      <c r="BP157">
        <v>0</v>
      </c>
      <c r="BQ157">
        <v>3</v>
      </c>
      <c r="BR157">
        <v>0</v>
      </c>
      <c r="BS157">
        <v>6.13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95</v>
      </c>
      <c r="CA157">
        <v>65</v>
      </c>
      <c r="CF157">
        <v>0</v>
      </c>
      <c r="CG157">
        <v>0</v>
      </c>
      <c r="CM157">
        <v>0</v>
      </c>
      <c r="CN157" t="s">
        <v>370</v>
      </c>
      <c r="CO157">
        <v>0</v>
      </c>
      <c r="CP157">
        <f t="shared" si="157"/>
        <v>2894.95</v>
      </c>
      <c r="CQ157">
        <f t="shared" si="158"/>
        <v>870.27609999999993</v>
      </c>
      <c r="CR157">
        <f t="shared" si="159"/>
        <v>392.19739999999996</v>
      </c>
      <c r="CS157">
        <f t="shared" si="160"/>
        <v>55.415199999999992</v>
      </c>
      <c r="CT157">
        <f t="shared" si="161"/>
        <v>10799.7727</v>
      </c>
      <c r="CU157">
        <f t="shared" si="162"/>
        <v>0</v>
      </c>
      <c r="CV157">
        <f t="shared" si="163"/>
        <v>177.6</v>
      </c>
      <c r="CW157">
        <f t="shared" si="164"/>
        <v>0.72</v>
      </c>
      <c r="CX157">
        <f t="shared" si="165"/>
        <v>0</v>
      </c>
      <c r="CY157">
        <f t="shared" si="166"/>
        <v>2474.9875000000002</v>
      </c>
      <c r="CZ157">
        <f t="shared" si="167"/>
        <v>1693.4124999999999</v>
      </c>
      <c r="DC157" t="s">
        <v>3</v>
      </c>
      <c r="DD157" t="s">
        <v>3</v>
      </c>
      <c r="DE157" t="s">
        <v>371</v>
      </c>
      <c r="DF157" t="s">
        <v>371</v>
      </c>
      <c r="DG157" t="s">
        <v>371</v>
      </c>
      <c r="DH157" t="s">
        <v>3</v>
      </c>
      <c r="DI157" t="s">
        <v>371</v>
      </c>
      <c r="DJ157" t="s">
        <v>371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1013</v>
      </c>
      <c r="DV157" t="s">
        <v>424</v>
      </c>
      <c r="DW157" t="s">
        <v>424</v>
      </c>
      <c r="DX157">
        <v>1</v>
      </c>
      <c r="EE157">
        <v>39174386</v>
      </c>
      <c r="EF157">
        <v>3</v>
      </c>
      <c r="EG157" t="s">
        <v>372</v>
      </c>
      <c r="EH157">
        <v>0</v>
      </c>
      <c r="EI157" t="s">
        <v>3</v>
      </c>
      <c r="EJ157">
        <v>2</v>
      </c>
      <c r="EK157">
        <v>108001</v>
      </c>
      <c r="EL157" t="s">
        <v>373</v>
      </c>
      <c r="EM157" t="s">
        <v>374</v>
      </c>
      <c r="EO157" t="s">
        <v>375</v>
      </c>
      <c r="EQ157">
        <v>0</v>
      </c>
      <c r="ER157">
        <v>1663.44</v>
      </c>
      <c r="ES157">
        <v>141.97</v>
      </c>
      <c r="ET157">
        <v>53.31</v>
      </c>
      <c r="EU157">
        <v>7.53</v>
      </c>
      <c r="EV157">
        <v>1468.16</v>
      </c>
      <c r="EW157">
        <v>148</v>
      </c>
      <c r="EX157">
        <v>0.6</v>
      </c>
      <c r="EY157">
        <v>0</v>
      </c>
      <c r="FQ157">
        <v>0</v>
      </c>
      <c r="FR157">
        <f t="shared" si="168"/>
        <v>0</v>
      </c>
      <c r="FS157">
        <v>0</v>
      </c>
      <c r="FX157">
        <v>95</v>
      </c>
      <c r="FY157">
        <v>65</v>
      </c>
      <c r="GA157" t="s">
        <v>3</v>
      </c>
      <c r="GD157">
        <v>0</v>
      </c>
      <c r="GF157">
        <v>1401319232</v>
      </c>
      <c r="GG157">
        <v>1</v>
      </c>
      <c r="GH157">
        <v>1</v>
      </c>
      <c r="GI157">
        <v>4</v>
      </c>
      <c r="GJ157">
        <v>0</v>
      </c>
      <c r="GK157">
        <f>ROUND(R157*(R12)/100,2)</f>
        <v>0</v>
      </c>
      <c r="GL157">
        <f t="shared" si="169"/>
        <v>0</v>
      </c>
      <c r="GM157">
        <f t="shared" si="170"/>
        <v>7063.35</v>
      </c>
      <c r="GN157">
        <f t="shared" si="171"/>
        <v>0</v>
      </c>
      <c r="GO157">
        <f t="shared" si="172"/>
        <v>7063.35</v>
      </c>
      <c r="GP157">
        <f t="shared" si="173"/>
        <v>0</v>
      </c>
      <c r="GR157">
        <v>0</v>
      </c>
      <c r="GS157">
        <v>3</v>
      </c>
      <c r="GT157">
        <v>0</v>
      </c>
      <c r="GU157" t="s">
        <v>3</v>
      </c>
      <c r="GV157">
        <f t="shared" si="174"/>
        <v>0</v>
      </c>
      <c r="GW157">
        <v>1</v>
      </c>
      <c r="GX157">
        <f t="shared" si="175"/>
        <v>0</v>
      </c>
      <c r="HA157">
        <v>0</v>
      </c>
      <c r="HB157">
        <v>0</v>
      </c>
      <c r="IK157">
        <v>0</v>
      </c>
    </row>
    <row r="158" spans="1:245" x14ac:dyDescent="0.2">
      <c r="A158">
        <v>18</v>
      </c>
      <c r="B158">
        <v>1</v>
      </c>
      <c r="C158">
        <v>375</v>
      </c>
      <c r="E158" t="s">
        <v>472</v>
      </c>
      <c r="F158" t="s">
        <v>473</v>
      </c>
      <c r="G158" t="s">
        <v>474</v>
      </c>
      <c r="H158" t="s">
        <v>415</v>
      </c>
      <c r="I158">
        <f>I157*J158</f>
        <v>24</v>
      </c>
      <c r="J158">
        <v>100</v>
      </c>
      <c r="O158">
        <f t="shared" si="142"/>
        <v>112823.39</v>
      </c>
      <c r="P158">
        <f t="shared" si="143"/>
        <v>112823.39</v>
      </c>
      <c r="Q158">
        <f t="shared" si="144"/>
        <v>0</v>
      </c>
      <c r="R158">
        <f t="shared" si="145"/>
        <v>0</v>
      </c>
      <c r="S158">
        <f t="shared" si="146"/>
        <v>0</v>
      </c>
      <c r="T158">
        <f t="shared" si="147"/>
        <v>0</v>
      </c>
      <c r="U158">
        <f t="shared" si="148"/>
        <v>0</v>
      </c>
      <c r="V158">
        <f t="shared" si="149"/>
        <v>0</v>
      </c>
      <c r="W158">
        <f t="shared" si="150"/>
        <v>0</v>
      </c>
      <c r="X158">
        <f t="shared" si="151"/>
        <v>0</v>
      </c>
      <c r="Y158">
        <f t="shared" si="152"/>
        <v>0</v>
      </c>
      <c r="AA158">
        <v>39476960</v>
      </c>
      <c r="AB158">
        <f t="shared" si="153"/>
        <v>766.88</v>
      </c>
      <c r="AC158">
        <f t="shared" si="154"/>
        <v>766.88</v>
      </c>
      <c r="AD158">
        <f>ROUND((((ET158)-(EU158))+AE158),2)</f>
        <v>0</v>
      </c>
      <c r="AE158">
        <f>ROUND((EU158),2)</f>
        <v>0</v>
      </c>
      <c r="AF158">
        <f>ROUND((EV158),2)</f>
        <v>0</v>
      </c>
      <c r="AG158">
        <f t="shared" si="155"/>
        <v>0</v>
      </c>
      <c r="AH158">
        <f>(EW158)</f>
        <v>0</v>
      </c>
      <c r="AI158">
        <f>(EX158)</f>
        <v>0</v>
      </c>
      <c r="AJ158">
        <f t="shared" si="156"/>
        <v>0</v>
      </c>
      <c r="AK158">
        <v>766.88</v>
      </c>
      <c r="AL158">
        <v>766.88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95</v>
      </c>
      <c r="AU158">
        <v>65</v>
      </c>
      <c r="AV158">
        <v>1</v>
      </c>
      <c r="AW158">
        <v>1</v>
      </c>
      <c r="AZ158">
        <v>6.13</v>
      </c>
      <c r="BA158">
        <v>1</v>
      </c>
      <c r="BB158">
        <v>1</v>
      </c>
      <c r="BC158">
        <v>6.13</v>
      </c>
      <c r="BD158" t="s">
        <v>3</v>
      </c>
      <c r="BE158" t="s">
        <v>3</v>
      </c>
      <c r="BF158" t="s">
        <v>3</v>
      </c>
      <c r="BG158" t="s">
        <v>3</v>
      </c>
      <c r="BH158">
        <v>3</v>
      </c>
      <c r="BI158">
        <v>2</v>
      </c>
      <c r="BJ158" t="s">
        <v>475</v>
      </c>
      <c r="BM158">
        <v>108001</v>
      </c>
      <c r="BN158">
        <v>0</v>
      </c>
      <c r="BO158" t="s">
        <v>3</v>
      </c>
      <c r="BP158">
        <v>0</v>
      </c>
      <c r="BQ158">
        <v>3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3</v>
      </c>
      <c r="BZ158">
        <v>95</v>
      </c>
      <c r="CA158">
        <v>65</v>
      </c>
      <c r="CF158">
        <v>0</v>
      </c>
      <c r="CG158">
        <v>0</v>
      </c>
      <c r="CM158">
        <v>0</v>
      </c>
      <c r="CN158" t="s">
        <v>3</v>
      </c>
      <c r="CO158">
        <v>0</v>
      </c>
      <c r="CP158">
        <f t="shared" si="157"/>
        <v>112823.39</v>
      </c>
      <c r="CQ158">
        <f t="shared" si="158"/>
        <v>4700.9744000000001</v>
      </c>
      <c r="CR158">
        <f t="shared" si="159"/>
        <v>0</v>
      </c>
      <c r="CS158">
        <f t="shared" si="160"/>
        <v>0</v>
      </c>
      <c r="CT158">
        <f t="shared" si="161"/>
        <v>0</v>
      </c>
      <c r="CU158">
        <f t="shared" si="162"/>
        <v>0</v>
      </c>
      <c r="CV158">
        <f t="shared" si="163"/>
        <v>0</v>
      </c>
      <c r="CW158">
        <f t="shared" si="164"/>
        <v>0</v>
      </c>
      <c r="CX158">
        <f t="shared" si="165"/>
        <v>0</v>
      </c>
      <c r="CY158">
        <f t="shared" si="166"/>
        <v>0</v>
      </c>
      <c r="CZ158">
        <f t="shared" si="167"/>
        <v>0</v>
      </c>
      <c r="DC158" t="s">
        <v>3</v>
      </c>
      <c r="DD158" t="s">
        <v>3</v>
      </c>
      <c r="DE158" t="s">
        <v>3</v>
      </c>
      <c r="DF158" t="s">
        <v>3</v>
      </c>
      <c r="DG158" t="s">
        <v>3</v>
      </c>
      <c r="DH158" t="s">
        <v>3</v>
      </c>
      <c r="DI158" t="s">
        <v>3</v>
      </c>
      <c r="DJ158" t="s">
        <v>3</v>
      </c>
      <c r="DK158" t="s">
        <v>3</v>
      </c>
      <c r="DL158" t="s">
        <v>3</v>
      </c>
      <c r="DM158" t="s">
        <v>3</v>
      </c>
      <c r="DN158">
        <v>0</v>
      </c>
      <c r="DO158">
        <v>0</v>
      </c>
      <c r="DP158">
        <v>1</v>
      </c>
      <c r="DQ158">
        <v>1</v>
      </c>
      <c r="DU158">
        <v>1010</v>
      </c>
      <c r="DV158" t="s">
        <v>415</v>
      </c>
      <c r="DW158" t="s">
        <v>415</v>
      </c>
      <c r="DX158">
        <v>1</v>
      </c>
      <c r="EE158">
        <v>39174386</v>
      </c>
      <c r="EF158">
        <v>3</v>
      </c>
      <c r="EG158" t="s">
        <v>372</v>
      </c>
      <c r="EH158">
        <v>0</v>
      </c>
      <c r="EI158" t="s">
        <v>3</v>
      </c>
      <c r="EJ158">
        <v>2</v>
      </c>
      <c r="EK158">
        <v>108001</v>
      </c>
      <c r="EL158" t="s">
        <v>373</v>
      </c>
      <c r="EM158" t="s">
        <v>374</v>
      </c>
      <c r="EO158" t="s">
        <v>3</v>
      </c>
      <c r="EQ158">
        <v>0</v>
      </c>
      <c r="ER158">
        <v>766.88</v>
      </c>
      <c r="ES158">
        <v>766.88</v>
      </c>
      <c r="ET158">
        <v>0</v>
      </c>
      <c r="EU158">
        <v>0</v>
      </c>
      <c r="EV158">
        <v>0</v>
      </c>
      <c r="EW158">
        <v>0</v>
      </c>
      <c r="EX158">
        <v>0</v>
      </c>
      <c r="FQ158">
        <v>0</v>
      </c>
      <c r="FR158">
        <f t="shared" si="168"/>
        <v>0</v>
      </c>
      <c r="FS158">
        <v>0</v>
      </c>
      <c r="FX158">
        <v>95</v>
      </c>
      <c r="FY158">
        <v>65</v>
      </c>
      <c r="GA158" t="s">
        <v>3</v>
      </c>
      <c r="GD158">
        <v>0</v>
      </c>
      <c r="GF158">
        <v>560156306</v>
      </c>
      <c r="GG158">
        <v>1</v>
      </c>
      <c r="GH158">
        <v>1</v>
      </c>
      <c r="GI158">
        <v>4</v>
      </c>
      <c r="GJ158">
        <v>0</v>
      </c>
      <c r="GK158">
        <f>ROUND(R158*(R12)/100,2)</f>
        <v>0</v>
      </c>
      <c r="GL158">
        <f t="shared" si="169"/>
        <v>0</v>
      </c>
      <c r="GM158">
        <f t="shared" si="170"/>
        <v>112823.39</v>
      </c>
      <c r="GN158">
        <f t="shared" si="171"/>
        <v>0</v>
      </c>
      <c r="GO158">
        <f t="shared" si="172"/>
        <v>112823.39</v>
      </c>
      <c r="GP158">
        <f t="shared" si="173"/>
        <v>0</v>
      </c>
      <c r="GR158">
        <v>0</v>
      </c>
      <c r="GS158">
        <v>3</v>
      </c>
      <c r="GT158">
        <v>0</v>
      </c>
      <c r="GU158" t="s">
        <v>3</v>
      </c>
      <c r="GV158">
        <f t="shared" si="174"/>
        <v>0</v>
      </c>
      <c r="GW158">
        <v>1</v>
      </c>
      <c r="GX158">
        <f t="shared" si="175"/>
        <v>0</v>
      </c>
      <c r="HA158">
        <v>0</v>
      </c>
      <c r="HB158">
        <v>0</v>
      </c>
      <c r="IK158">
        <v>0</v>
      </c>
    </row>
    <row r="159" spans="1:245" x14ac:dyDescent="0.2">
      <c r="A159">
        <v>17</v>
      </c>
      <c r="B159">
        <v>1</v>
      </c>
      <c r="C159">
        <f>ROW(SmtRes!A385)</f>
        <v>385</v>
      </c>
      <c r="D159">
        <f>ROW(EtalonRes!A356)</f>
        <v>356</v>
      </c>
      <c r="E159" t="s">
        <v>476</v>
      </c>
      <c r="F159" t="s">
        <v>477</v>
      </c>
      <c r="G159" t="s">
        <v>478</v>
      </c>
      <c r="H159" t="s">
        <v>424</v>
      </c>
      <c r="I159">
        <f>ROUND(4/100,9)</f>
        <v>0.04</v>
      </c>
      <c r="J159">
        <v>0</v>
      </c>
      <c r="O159">
        <f t="shared" si="142"/>
        <v>86.56</v>
      </c>
      <c r="P159">
        <f t="shared" si="143"/>
        <v>8.59</v>
      </c>
      <c r="Q159">
        <f t="shared" si="144"/>
        <v>1.38</v>
      </c>
      <c r="R159">
        <f t="shared" si="145"/>
        <v>0.19</v>
      </c>
      <c r="S159">
        <f t="shared" si="146"/>
        <v>76.59</v>
      </c>
      <c r="T159">
        <f t="shared" si="147"/>
        <v>0</v>
      </c>
      <c r="U159">
        <f t="shared" si="148"/>
        <v>1.25952</v>
      </c>
      <c r="V159">
        <f t="shared" si="149"/>
        <v>2.3999999999999998E-3</v>
      </c>
      <c r="W159">
        <f t="shared" si="150"/>
        <v>0</v>
      </c>
      <c r="X159">
        <f t="shared" si="151"/>
        <v>72.94</v>
      </c>
      <c r="Y159">
        <f t="shared" si="152"/>
        <v>49.91</v>
      </c>
      <c r="AA159">
        <v>39476960</v>
      </c>
      <c r="AB159">
        <f t="shared" si="153"/>
        <v>353.02</v>
      </c>
      <c r="AC159">
        <f t="shared" si="154"/>
        <v>35.049999999999997</v>
      </c>
      <c r="AD159">
        <f>ROUND(((((ET159*1.2))-((EU159*1.2)))+AE159),2)</f>
        <v>5.61</v>
      </c>
      <c r="AE159">
        <f>ROUND(((EU159*1.2)),2)</f>
        <v>0.77</v>
      </c>
      <c r="AF159">
        <f>ROUND(((EV159*1.2)),2)</f>
        <v>312.36</v>
      </c>
      <c r="AG159">
        <f t="shared" si="155"/>
        <v>0</v>
      </c>
      <c r="AH159">
        <f>((EW159*1.2))</f>
        <v>31.487999999999996</v>
      </c>
      <c r="AI159">
        <f>((EX159*1.2))</f>
        <v>0.06</v>
      </c>
      <c r="AJ159">
        <f t="shared" si="156"/>
        <v>0</v>
      </c>
      <c r="AK159">
        <v>300.02</v>
      </c>
      <c r="AL159">
        <v>35.049999999999997</v>
      </c>
      <c r="AM159">
        <v>4.67</v>
      </c>
      <c r="AN159">
        <v>0.64</v>
      </c>
      <c r="AO159">
        <v>260.3</v>
      </c>
      <c r="AP159">
        <v>0</v>
      </c>
      <c r="AQ159">
        <v>26.24</v>
      </c>
      <c r="AR159">
        <v>0.05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6.13</v>
      </c>
      <c r="BA159">
        <v>6.13</v>
      </c>
      <c r="BB159">
        <v>6.13</v>
      </c>
      <c r="BC159">
        <v>6.13</v>
      </c>
      <c r="BD159" t="s">
        <v>3</v>
      </c>
      <c r="BE159" t="s">
        <v>3</v>
      </c>
      <c r="BF159" t="s">
        <v>3</v>
      </c>
      <c r="BG159" t="s">
        <v>3</v>
      </c>
      <c r="BH159">
        <v>0</v>
      </c>
      <c r="BI159">
        <v>2</v>
      </c>
      <c r="BJ159" t="s">
        <v>479</v>
      </c>
      <c r="BM159">
        <v>108001</v>
      </c>
      <c r="BN159">
        <v>0</v>
      </c>
      <c r="BO159" t="s">
        <v>3</v>
      </c>
      <c r="BP159">
        <v>0</v>
      </c>
      <c r="BQ159">
        <v>3</v>
      </c>
      <c r="BR159">
        <v>0</v>
      </c>
      <c r="BS159">
        <v>6.13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95</v>
      </c>
      <c r="CA159">
        <v>65</v>
      </c>
      <c r="CF159">
        <v>0</v>
      </c>
      <c r="CG159">
        <v>0</v>
      </c>
      <c r="CM159">
        <v>0</v>
      </c>
      <c r="CN159" t="s">
        <v>370</v>
      </c>
      <c r="CO159">
        <v>0</v>
      </c>
      <c r="CP159">
        <f t="shared" si="157"/>
        <v>86.56</v>
      </c>
      <c r="CQ159">
        <f t="shared" si="158"/>
        <v>214.85649999999998</v>
      </c>
      <c r="CR159">
        <f t="shared" si="159"/>
        <v>34.389299999999999</v>
      </c>
      <c r="CS159">
        <f t="shared" si="160"/>
        <v>4.7201000000000004</v>
      </c>
      <c r="CT159">
        <f t="shared" si="161"/>
        <v>1914.7668000000001</v>
      </c>
      <c r="CU159">
        <f t="shared" si="162"/>
        <v>0</v>
      </c>
      <c r="CV159">
        <f t="shared" si="163"/>
        <v>31.487999999999996</v>
      </c>
      <c r="CW159">
        <f t="shared" si="164"/>
        <v>0.06</v>
      </c>
      <c r="CX159">
        <f t="shared" si="165"/>
        <v>0</v>
      </c>
      <c r="CY159">
        <f t="shared" si="166"/>
        <v>72.941000000000003</v>
      </c>
      <c r="CZ159">
        <f t="shared" si="167"/>
        <v>49.906999999999996</v>
      </c>
      <c r="DC159" t="s">
        <v>3</v>
      </c>
      <c r="DD159" t="s">
        <v>3</v>
      </c>
      <c r="DE159" t="s">
        <v>371</v>
      </c>
      <c r="DF159" t="s">
        <v>371</v>
      </c>
      <c r="DG159" t="s">
        <v>371</v>
      </c>
      <c r="DH159" t="s">
        <v>3</v>
      </c>
      <c r="DI159" t="s">
        <v>371</v>
      </c>
      <c r="DJ159" t="s">
        <v>371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424</v>
      </c>
      <c r="DW159" t="s">
        <v>424</v>
      </c>
      <c r="DX159">
        <v>1</v>
      </c>
      <c r="EE159">
        <v>39174386</v>
      </c>
      <c r="EF159">
        <v>3</v>
      </c>
      <c r="EG159" t="s">
        <v>372</v>
      </c>
      <c r="EH159">
        <v>0</v>
      </c>
      <c r="EI159" t="s">
        <v>3</v>
      </c>
      <c r="EJ159">
        <v>2</v>
      </c>
      <c r="EK159">
        <v>108001</v>
      </c>
      <c r="EL159" t="s">
        <v>373</v>
      </c>
      <c r="EM159" t="s">
        <v>374</v>
      </c>
      <c r="EO159" t="s">
        <v>375</v>
      </c>
      <c r="EQ159">
        <v>0</v>
      </c>
      <c r="ER159">
        <v>300.02</v>
      </c>
      <c r="ES159">
        <v>35.049999999999997</v>
      </c>
      <c r="ET159">
        <v>4.67</v>
      </c>
      <c r="EU159">
        <v>0.64</v>
      </c>
      <c r="EV159">
        <v>260.3</v>
      </c>
      <c r="EW159">
        <v>26.24</v>
      </c>
      <c r="EX159">
        <v>0.05</v>
      </c>
      <c r="EY159">
        <v>0</v>
      </c>
      <c r="FQ159">
        <v>0</v>
      </c>
      <c r="FR159">
        <f t="shared" si="168"/>
        <v>0</v>
      </c>
      <c r="FS159">
        <v>0</v>
      </c>
      <c r="FX159">
        <v>95</v>
      </c>
      <c r="FY159">
        <v>65</v>
      </c>
      <c r="GA159" t="s">
        <v>3</v>
      </c>
      <c r="GD159">
        <v>0</v>
      </c>
      <c r="GF159">
        <v>-746591408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si="169"/>
        <v>0</v>
      </c>
      <c r="GM159">
        <f t="shared" si="170"/>
        <v>209.41</v>
      </c>
      <c r="GN159">
        <f t="shared" si="171"/>
        <v>0</v>
      </c>
      <c r="GO159">
        <f t="shared" si="172"/>
        <v>209.41</v>
      </c>
      <c r="GP159">
        <f t="shared" si="173"/>
        <v>0</v>
      </c>
      <c r="GR159">
        <v>0</v>
      </c>
      <c r="GS159">
        <v>3</v>
      </c>
      <c r="GT159">
        <v>0</v>
      </c>
      <c r="GU159" t="s">
        <v>3</v>
      </c>
      <c r="GV159">
        <f t="shared" si="174"/>
        <v>0</v>
      </c>
      <c r="GW159">
        <v>1</v>
      </c>
      <c r="GX159">
        <f t="shared" si="175"/>
        <v>0</v>
      </c>
      <c r="HA159">
        <v>0</v>
      </c>
      <c r="HB159">
        <v>0</v>
      </c>
      <c r="IK159">
        <v>0</v>
      </c>
    </row>
    <row r="160" spans="1:245" x14ac:dyDescent="0.2">
      <c r="A160">
        <v>18</v>
      </c>
      <c r="B160">
        <v>1</v>
      </c>
      <c r="C160">
        <v>384</v>
      </c>
      <c r="E160" t="s">
        <v>480</v>
      </c>
      <c r="F160" t="s">
        <v>481</v>
      </c>
      <c r="G160" t="s">
        <v>482</v>
      </c>
      <c r="H160" t="s">
        <v>160</v>
      </c>
      <c r="I160">
        <f>I159*J160</f>
        <v>0.4</v>
      </c>
      <c r="J160">
        <v>10</v>
      </c>
      <c r="O160">
        <f t="shared" si="142"/>
        <v>213.81</v>
      </c>
      <c r="P160">
        <f t="shared" si="143"/>
        <v>213.81</v>
      </c>
      <c r="Q160">
        <f t="shared" si="144"/>
        <v>0</v>
      </c>
      <c r="R160">
        <f t="shared" si="145"/>
        <v>0</v>
      </c>
      <c r="S160">
        <f t="shared" si="146"/>
        <v>0</v>
      </c>
      <c r="T160">
        <f t="shared" si="147"/>
        <v>0</v>
      </c>
      <c r="U160">
        <f t="shared" si="148"/>
        <v>0</v>
      </c>
      <c r="V160">
        <f t="shared" si="149"/>
        <v>0</v>
      </c>
      <c r="W160">
        <f t="shared" si="150"/>
        <v>0</v>
      </c>
      <c r="X160">
        <f t="shared" si="151"/>
        <v>0</v>
      </c>
      <c r="Y160">
        <f t="shared" si="152"/>
        <v>0</v>
      </c>
      <c r="AA160">
        <v>39476960</v>
      </c>
      <c r="AB160">
        <f t="shared" si="153"/>
        <v>87.2</v>
      </c>
      <c r="AC160">
        <f t="shared" si="154"/>
        <v>87.2</v>
      </c>
      <c r="AD160">
        <f>ROUND((((ET160)-(EU160))+AE160),2)</f>
        <v>0</v>
      </c>
      <c r="AE160">
        <f>ROUND((EU160),2)</f>
        <v>0</v>
      </c>
      <c r="AF160">
        <f>ROUND((EV160),2)</f>
        <v>0</v>
      </c>
      <c r="AG160">
        <f t="shared" si="155"/>
        <v>0</v>
      </c>
      <c r="AH160">
        <f>(EW160)</f>
        <v>0</v>
      </c>
      <c r="AI160">
        <f>(EX160)</f>
        <v>0</v>
      </c>
      <c r="AJ160">
        <f t="shared" si="156"/>
        <v>0</v>
      </c>
      <c r="AK160">
        <v>87.2</v>
      </c>
      <c r="AL160">
        <v>87.2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95</v>
      </c>
      <c r="AU160">
        <v>65</v>
      </c>
      <c r="AV160">
        <v>1</v>
      </c>
      <c r="AW160">
        <v>1</v>
      </c>
      <c r="AZ160">
        <v>6.13</v>
      </c>
      <c r="BA160">
        <v>1</v>
      </c>
      <c r="BB160">
        <v>1</v>
      </c>
      <c r="BC160">
        <v>6.13</v>
      </c>
      <c r="BD160" t="s">
        <v>3</v>
      </c>
      <c r="BE160" t="s">
        <v>3</v>
      </c>
      <c r="BF160" t="s">
        <v>3</v>
      </c>
      <c r="BG160" t="s">
        <v>3</v>
      </c>
      <c r="BH160">
        <v>3</v>
      </c>
      <c r="BI160">
        <v>2</v>
      </c>
      <c r="BJ160" t="s">
        <v>483</v>
      </c>
      <c r="BM160">
        <v>108001</v>
      </c>
      <c r="BN160">
        <v>0</v>
      </c>
      <c r="BO160" t="s">
        <v>3</v>
      </c>
      <c r="BP160">
        <v>0</v>
      </c>
      <c r="BQ160">
        <v>3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3</v>
      </c>
      <c r="BZ160">
        <v>95</v>
      </c>
      <c r="CA160">
        <v>65</v>
      </c>
      <c r="CF160">
        <v>0</v>
      </c>
      <c r="CG160">
        <v>0</v>
      </c>
      <c r="CM160">
        <v>0</v>
      </c>
      <c r="CN160" t="s">
        <v>3</v>
      </c>
      <c r="CO160">
        <v>0</v>
      </c>
      <c r="CP160">
        <f t="shared" si="157"/>
        <v>213.81</v>
      </c>
      <c r="CQ160">
        <f t="shared" si="158"/>
        <v>534.53600000000006</v>
      </c>
      <c r="CR160">
        <f t="shared" si="159"/>
        <v>0</v>
      </c>
      <c r="CS160">
        <f t="shared" si="160"/>
        <v>0</v>
      </c>
      <c r="CT160">
        <f t="shared" si="161"/>
        <v>0</v>
      </c>
      <c r="CU160">
        <f t="shared" si="162"/>
        <v>0</v>
      </c>
      <c r="CV160">
        <f t="shared" si="163"/>
        <v>0</v>
      </c>
      <c r="CW160">
        <f t="shared" si="164"/>
        <v>0</v>
      </c>
      <c r="CX160">
        <f t="shared" si="165"/>
        <v>0</v>
      </c>
      <c r="CY160">
        <f t="shared" si="166"/>
        <v>0</v>
      </c>
      <c r="CZ160">
        <f t="shared" si="167"/>
        <v>0</v>
      </c>
      <c r="DC160" t="s">
        <v>3</v>
      </c>
      <c r="DD160" t="s">
        <v>3</v>
      </c>
      <c r="DE160" t="s">
        <v>3</v>
      </c>
      <c r="DF160" t="s">
        <v>3</v>
      </c>
      <c r="DG160" t="s">
        <v>3</v>
      </c>
      <c r="DH160" t="s">
        <v>3</v>
      </c>
      <c r="DI160" t="s">
        <v>3</v>
      </c>
      <c r="DJ160" t="s">
        <v>3</v>
      </c>
      <c r="DK160" t="s">
        <v>3</v>
      </c>
      <c r="DL160" t="s">
        <v>3</v>
      </c>
      <c r="DM160" t="s">
        <v>3</v>
      </c>
      <c r="DN160">
        <v>0</v>
      </c>
      <c r="DO160">
        <v>0</v>
      </c>
      <c r="DP160">
        <v>1</v>
      </c>
      <c r="DQ160">
        <v>1</v>
      </c>
      <c r="DU160">
        <v>1010</v>
      </c>
      <c r="DV160" t="s">
        <v>160</v>
      </c>
      <c r="DW160" t="s">
        <v>160</v>
      </c>
      <c r="DX160">
        <v>10</v>
      </c>
      <c r="EE160">
        <v>39174386</v>
      </c>
      <c r="EF160">
        <v>3</v>
      </c>
      <c r="EG160" t="s">
        <v>372</v>
      </c>
      <c r="EH160">
        <v>0</v>
      </c>
      <c r="EI160" t="s">
        <v>3</v>
      </c>
      <c r="EJ160">
        <v>2</v>
      </c>
      <c r="EK160">
        <v>108001</v>
      </c>
      <c r="EL160" t="s">
        <v>373</v>
      </c>
      <c r="EM160" t="s">
        <v>374</v>
      </c>
      <c r="EO160" t="s">
        <v>3</v>
      </c>
      <c r="EQ160">
        <v>0</v>
      </c>
      <c r="ER160">
        <v>87.2</v>
      </c>
      <c r="ES160">
        <v>87.2</v>
      </c>
      <c r="ET160">
        <v>0</v>
      </c>
      <c r="EU160">
        <v>0</v>
      </c>
      <c r="EV160">
        <v>0</v>
      </c>
      <c r="EW160">
        <v>0</v>
      </c>
      <c r="EX160">
        <v>0</v>
      </c>
      <c r="FQ160">
        <v>0</v>
      </c>
      <c r="FR160">
        <f t="shared" si="168"/>
        <v>0</v>
      </c>
      <c r="FS160">
        <v>0</v>
      </c>
      <c r="FX160">
        <v>95</v>
      </c>
      <c r="FY160">
        <v>65</v>
      </c>
      <c r="GA160" t="s">
        <v>3</v>
      </c>
      <c r="GD160">
        <v>0</v>
      </c>
      <c r="GF160">
        <v>-4905491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169"/>
        <v>0</v>
      </c>
      <c r="GM160">
        <f t="shared" si="170"/>
        <v>213.81</v>
      </c>
      <c r="GN160">
        <f t="shared" si="171"/>
        <v>0</v>
      </c>
      <c r="GO160">
        <f t="shared" si="172"/>
        <v>213.81</v>
      </c>
      <c r="GP160">
        <f t="shared" si="173"/>
        <v>0</v>
      </c>
      <c r="GR160">
        <v>0</v>
      </c>
      <c r="GS160">
        <v>3</v>
      </c>
      <c r="GT160">
        <v>0</v>
      </c>
      <c r="GU160" t="s">
        <v>3</v>
      </c>
      <c r="GV160">
        <f t="shared" si="174"/>
        <v>0</v>
      </c>
      <c r="GW160">
        <v>1</v>
      </c>
      <c r="GX160">
        <f t="shared" si="175"/>
        <v>0</v>
      </c>
      <c r="HA160">
        <v>0</v>
      </c>
      <c r="HB160">
        <v>0</v>
      </c>
      <c r="IK160">
        <v>0</v>
      </c>
    </row>
    <row r="162" spans="1:206" x14ac:dyDescent="0.2">
      <c r="A162" s="2">
        <v>51</v>
      </c>
      <c r="B162" s="2">
        <f>B129</f>
        <v>1</v>
      </c>
      <c r="C162" s="2">
        <f>A129</f>
        <v>4</v>
      </c>
      <c r="D162" s="2">
        <f>ROW(A129)</f>
        <v>129</v>
      </c>
      <c r="E162" s="2"/>
      <c r="F162" s="2" t="str">
        <f>IF(F129&lt;&gt;"",F129,"")</f>
        <v>Новый раздел</v>
      </c>
      <c r="G162" s="2" t="str">
        <f>IF(G129&lt;&gt;"",G129,"")</f>
        <v>Система электроснабжения</v>
      </c>
      <c r="H162" s="2">
        <v>0</v>
      </c>
      <c r="I162" s="2"/>
      <c r="J162" s="2"/>
      <c r="K162" s="2"/>
      <c r="L162" s="2"/>
      <c r="M162" s="2"/>
      <c r="N162" s="2"/>
      <c r="O162" s="2">
        <f t="shared" ref="O162:T162" si="180">ROUND(AB162,2)</f>
        <v>162414.85999999999</v>
      </c>
      <c r="P162" s="2">
        <f t="shared" si="180"/>
        <v>152645.97</v>
      </c>
      <c r="Q162" s="2">
        <f t="shared" si="180"/>
        <v>861.8</v>
      </c>
      <c r="R162" s="2">
        <f t="shared" si="180"/>
        <v>100.6</v>
      </c>
      <c r="S162" s="2">
        <f t="shared" si="180"/>
        <v>8907.09</v>
      </c>
      <c r="T162" s="2">
        <f t="shared" si="180"/>
        <v>0</v>
      </c>
      <c r="U162" s="2">
        <f>AH162</f>
        <v>151.01688000000001</v>
      </c>
      <c r="V162" s="2">
        <f>AI162</f>
        <v>1.3057600000000003</v>
      </c>
      <c r="W162" s="2">
        <f>ROUND(AJ162,2)</f>
        <v>0</v>
      </c>
      <c r="X162" s="2">
        <f>ROUND(AK162,2)</f>
        <v>8551.93</v>
      </c>
      <c r="Y162" s="2">
        <f>ROUND(AL162,2)</f>
        <v>5853.21</v>
      </c>
      <c r="Z162" s="2"/>
      <c r="AA162" s="2"/>
      <c r="AB162" s="2">
        <f>ROUND(SUMIF(AA133:AA160,"=39476960",O133:O160),2)</f>
        <v>162414.85999999999</v>
      </c>
      <c r="AC162" s="2">
        <f>ROUND(SUMIF(AA133:AA160,"=39476960",P133:P160),2)</f>
        <v>152645.97</v>
      </c>
      <c r="AD162" s="2">
        <f>ROUND(SUMIF(AA133:AA160,"=39476960",Q133:Q160),2)</f>
        <v>861.8</v>
      </c>
      <c r="AE162" s="2">
        <f>ROUND(SUMIF(AA133:AA160,"=39476960",R133:R160),2)</f>
        <v>100.6</v>
      </c>
      <c r="AF162" s="2">
        <f>ROUND(SUMIF(AA133:AA160,"=39476960",S133:S160),2)</f>
        <v>8907.09</v>
      </c>
      <c r="AG162" s="2">
        <f>ROUND(SUMIF(AA133:AA160,"=39476960",T133:T160),2)</f>
        <v>0</v>
      </c>
      <c r="AH162" s="2">
        <f>SUMIF(AA133:AA160,"=39476960",U133:U160)</f>
        <v>151.01688000000001</v>
      </c>
      <c r="AI162" s="2">
        <f>SUMIF(AA133:AA160,"=39476960",V133:V160)</f>
        <v>1.3057600000000003</v>
      </c>
      <c r="AJ162" s="2">
        <f>ROUND(SUMIF(AA133:AA160,"=39476960",W133:W160),2)</f>
        <v>0</v>
      </c>
      <c r="AK162" s="2">
        <f>ROUND(SUMIF(AA133:AA160,"=39476960",X133:X160),2)</f>
        <v>8551.93</v>
      </c>
      <c r="AL162" s="2">
        <f>ROUND(SUMIF(AA133:AA160,"=39476960",Y133:Y160),2)</f>
        <v>5853.21</v>
      </c>
      <c r="AM162" s="2"/>
      <c r="AN162" s="2"/>
      <c r="AO162" s="2">
        <f t="shared" ref="AO162:BC162" si="181">ROUND(BX162,2)</f>
        <v>0</v>
      </c>
      <c r="AP162" s="2">
        <f t="shared" si="181"/>
        <v>0</v>
      </c>
      <c r="AQ162" s="2">
        <f t="shared" si="181"/>
        <v>0</v>
      </c>
      <c r="AR162" s="2">
        <f t="shared" si="181"/>
        <v>176820</v>
      </c>
      <c r="AS162" s="2">
        <f t="shared" si="181"/>
        <v>0</v>
      </c>
      <c r="AT162" s="2">
        <f t="shared" si="181"/>
        <v>176820</v>
      </c>
      <c r="AU162" s="2">
        <f t="shared" si="181"/>
        <v>0</v>
      </c>
      <c r="AV162" s="2">
        <f t="shared" si="181"/>
        <v>152645.97</v>
      </c>
      <c r="AW162" s="2">
        <f t="shared" si="181"/>
        <v>152645.97</v>
      </c>
      <c r="AX162" s="2">
        <f t="shared" si="181"/>
        <v>0</v>
      </c>
      <c r="AY162" s="2">
        <f t="shared" si="181"/>
        <v>152645.97</v>
      </c>
      <c r="AZ162" s="2">
        <f t="shared" si="181"/>
        <v>0</v>
      </c>
      <c r="BA162" s="2">
        <f t="shared" si="181"/>
        <v>0</v>
      </c>
      <c r="BB162" s="2">
        <f t="shared" si="181"/>
        <v>0</v>
      </c>
      <c r="BC162" s="2">
        <f t="shared" si="181"/>
        <v>0</v>
      </c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>
        <f>ROUND(SUMIF(AA133:AA160,"=39476960",FQ133:FQ160),2)</f>
        <v>0</v>
      </c>
      <c r="BY162" s="2">
        <f>ROUND(SUMIF(AA133:AA160,"=39476960",FR133:FR160),2)</f>
        <v>0</v>
      </c>
      <c r="BZ162" s="2">
        <f>ROUND(SUMIF(AA133:AA160,"=39476960",GL133:GL160),2)</f>
        <v>0</v>
      </c>
      <c r="CA162" s="2">
        <f>ROUND(SUMIF(AA133:AA160,"=39476960",GM133:GM160),2)</f>
        <v>176820</v>
      </c>
      <c r="CB162" s="2">
        <f>ROUND(SUMIF(AA133:AA160,"=39476960",GN133:GN160),2)</f>
        <v>0</v>
      </c>
      <c r="CC162" s="2">
        <f>ROUND(SUMIF(AA133:AA160,"=39476960",GO133:GO160),2)</f>
        <v>176820</v>
      </c>
      <c r="CD162" s="2">
        <f>ROUND(SUMIF(AA133:AA160,"=39476960",GP133:GP160),2)</f>
        <v>0</v>
      </c>
      <c r="CE162" s="2">
        <f>AC162-BX162</f>
        <v>152645.97</v>
      </c>
      <c r="CF162" s="2">
        <f>AC162-BY162</f>
        <v>152645.97</v>
      </c>
      <c r="CG162" s="2">
        <f>BX162-BZ162</f>
        <v>0</v>
      </c>
      <c r="CH162" s="2">
        <f>AC162-BX162-BY162+BZ162</f>
        <v>152645.97</v>
      </c>
      <c r="CI162" s="2">
        <f>BY162-BZ162</f>
        <v>0</v>
      </c>
      <c r="CJ162" s="2">
        <f>ROUND(SUMIF(AA133:AA160,"=39476960",GX133:GX160),2)</f>
        <v>0</v>
      </c>
      <c r="CK162" s="2">
        <f>ROUND(SUMIF(AA133:AA160,"=39476960",GY133:GY160),2)</f>
        <v>0</v>
      </c>
      <c r="CL162" s="2">
        <f>ROUND(SUMIF(AA133:AA160,"=39476960",GZ133:GZ160),2)</f>
        <v>0</v>
      </c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>
        <v>0</v>
      </c>
    </row>
    <row r="164" spans="1:206" x14ac:dyDescent="0.2">
      <c r="A164" s="4">
        <v>50</v>
      </c>
      <c r="B164" s="4">
        <v>0</v>
      </c>
      <c r="C164" s="4">
        <v>0</v>
      </c>
      <c r="D164" s="4">
        <v>1</v>
      </c>
      <c r="E164" s="4">
        <v>201</v>
      </c>
      <c r="F164" s="4">
        <f>ROUND(Source!O162,O164)</f>
        <v>162414.85999999999</v>
      </c>
      <c r="G164" s="4" t="s">
        <v>313</v>
      </c>
      <c r="H164" s="4" t="s">
        <v>314</v>
      </c>
      <c r="I164" s="4"/>
      <c r="J164" s="4"/>
      <c r="K164" s="4">
        <v>201</v>
      </c>
      <c r="L164" s="4">
        <v>1</v>
      </c>
      <c r="M164" s="4">
        <v>3</v>
      </c>
      <c r="N164" s="4" t="s">
        <v>3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206" x14ac:dyDescent="0.2">
      <c r="A165" s="4">
        <v>50</v>
      </c>
      <c r="B165" s="4">
        <v>0</v>
      </c>
      <c r="C165" s="4">
        <v>0</v>
      </c>
      <c r="D165" s="4">
        <v>1</v>
      </c>
      <c r="E165" s="4">
        <v>202</v>
      </c>
      <c r="F165" s="4">
        <f>ROUND(Source!P162,O165)</f>
        <v>152645.97</v>
      </c>
      <c r="G165" s="4" t="s">
        <v>315</v>
      </c>
      <c r="H165" s="4" t="s">
        <v>316</v>
      </c>
      <c r="I165" s="4"/>
      <c r="J165" s="4"/>
      <c r="K165" s="4">
        <v>202</v>
      </c>
      <c r="L165" s="4">
        <v>2</v>
      </c>
      <c r="M165" s="4">
        <v>3</v>
      </c>
      <c r="N165" s="4" t="s">
        <v>3</v>
      </c>
      <c r="O165" s="4">
        <v>2</v>
      </c>
      <c r="P165" s="4"/>
      <c r="Q165" s="4"/>
      <c r="R165" s="4"/>
      <c r="S165" s="4"/>
      <c r="T165" s="4"/>
      <c r="U165" s="4"/>
      <c r="V165" s="4"/>
      <c r="W165" s="4"/>
    </row>
    <row r="166" spans="1:206" x14ac:dyDescent="0.2">
      <c r="A166" s="4">
        <v>50</v>
      </c>
      <c r="B166" s="4">
        <v>0</v>
      </c>
      <c r="C166" s="4">
        <v>0</v>
      </c>
      <c r="D166" s="4">
        <v>1</v>
      </c>
      <c r="E166" s="4">
        <v>222</v>
      </c>
      <c r="F166" s="4">
        <f>ROUND(Source!AO162,O166)</f>
        <v>0</v>
      </c>
      <c r="G166" s="4" t="s">
        <v>317</v>
      </c>
      <c r="H166" s="4" t="s">
        <v>318</v>
      </c>
      <c r="I166" s="4"/>
      <c r="J166" s="4"/>
      <c r="K166" s="4">
        <v>222</v>
      </c>
      <c r="L166" s="4">
        <v>3</v>
      </c>
      <c r="M166" s="4">
        <v>3</v>
      </c>
      <c r="N166" s="4" t="s">
        <v>3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206" x14ac:dyDescent="0.2">
      <c r="A167" s="4">
        <v>50</v>
      </c>
      <c r="B167" s="4">
        <v>0</v>
      </c>
      <c r="C167" s="4">
        <v>0</v>
      </c>
      <c r="D167" s="4">
        <v>1</v>
      </c>
      <c r="E167" s="4">
        <v>225</v>
      </c>
      <c r="F167" s="4">
        <f>ROUND(Source!AV162,O167)</f>
        <v>152645.97</v>
      </c>
      <c r="G167" s="4" t="s">
        <v>319</v>
      </c>
      <c r="H167" s="4" t="s">
        <v>320</v>
      </c>
      <c r="I167" s="4"/>
      <c r="J167" s="4"/>
      <c r="K167" s="4">
        <v>225</v>
      </c>
      <c r="L167" s="4">
        <v>4</v>
      </c>
      <c r="M167" s="4">
        <v>3</v>
      </c>
      <c r="N167" s="4" t="s">
        <v>3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206" x14ac:dyDescent="0.2">
      <c r="A168" s="4">
        <v>50</v>
      </c>
      <c r="B168" s="4">
        <v>0</v>
      </c>
      <c r="C168" s="4">
        <v>0</v>
      </c>
      <c r="D168" s="4">
        <v>1</v>
      </c>
      <c r="E168" s="4">
        <v>226</v>
      </c>
      <c r="F168" s="4">
        <f>ROUND(Source!AW162,O168)</f>
        <v>152645.97</v>
      </c>
      <c r="G168" s="4" t="s">
        <v>321</v>
      </c>
      <c r="H168" s="4" t="s">
        <v>322</v>
      </c>
      <c r="I168" s="4"/>
      <c r="J168" s="4"/>
      <c r="K168" s="4">
        <v>226</v>
      </c>
      <c r="L168" s="4">
        <v>5</v>
      </c>
      <c r="M168" s="4">
        <v>3</v>
      </c>
      <c r="N168" s="4" t="s">
        <v>3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206" x14ac:dyDescent="0.2">
      <c r="A169" s="4">
        <v>50</v>
      </c>
      <c r="B169" s="4">
        <v>0</v>
      </c>
      <c r="C169" s="4">
        <v>0</v>
      </c>
      <c r="D169" s="4">
        <v>1</v>
      </c>
      <c r="E169" s="4">
        <v>227</v>
      </c>
      <c r="F169" s="4">
        <f>ROUND(Source!AX162,O169)</f>
        <v>0</v>
      </c>
      <c r="G169" s="4" t="s">
        <v>323</v>
      </c>
      <c r="H169" s="4" t="s">
        <v>324</v>
      </c>
      <c r="I169" s="4"/>
      <c r="J169" s="4"/>
      <c r="K169" s="4">
        <v>227</v>
      </c>
      <c r="L169" s="4">
        <v>6</v>
      </c>
      <c r="M169" s="4">
        <v>3</v>
      </c>
      <c r="N169" s="4" t="s">
        <v>3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206" x14ac:dyDescent="0.2">
      <c r="A170" s="4">
        <v>50</v>
      </c>
      <c r="B170" s="4">
        <v>0</v>
      </c>
      <c r="C170" s="4">
        <v>0</v>
      </c>
      <c r="D170" s="4">
        <v>1</v>
      </c>
      <c r="E170" s="4">
        <v>228</v>
      </c>
      <c r="F170" s="4">
        <f>ROUND(Source!AY162,O170)</f>
        <v>152645.97</v>
      </c>
      <c r="G170" s="4" t="s">
        <v>325</v>
      </c>
      <c r="H170" s="4" t="s">
        <v>326</v>
      </c>
      <c r="I170" s="4"/>
      <c r="J170" s="4"/>
      <c r="K170" s="4">
        <v>228</v>
      </c>
      <c r="L170" s="4">
        <v>7</v>
      </c>
      <c r="M170" s="4">
        <v>3</v>
      </c>
      <c r="N170" s="4" t="s">
        <v>3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06" x14ac:dyDescent="0.2">
      <c r="A171" s="4">
        <v>50</v>
      </c>
      <c r="B171" s="4">
        <v>0</v>
      </c>
      <c r="C171" s="4">
        <v>0</v>
      </c>
      <c r="D171" s="4">
        <v>1</v>
      </c>
      <c r="E171" s="4">
        <v>216</v>
      </c>
      <c r="F171" s="4">
        <f>ROUND(Source!AP162,O171)</f>
        <v>0</v>
      </c>
      <c r="G171" s="4" t="s">
        <v>327</v>
      </c>
      <c r="H171" s="4" t="s">
        <v>328</v>
      </c>
      <c r="I171" s="4"/>
      <c r="J171" s="4"/>
      <c r="K171" s="4">
        <v>216</v>
      </c>
      <c r="L171" s="4">
        <v>8</v>
      </c>
      <c r="M171" s="4">
        <v>3</v>
      </c>
      <c r="N171" s="4" t="s">
        <v>3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06" x14ac:dyDescent="0.2">
      <c r="A172" s="4">
        <v>50</v>
      </c>
      <c r="B172" s="4">
        <v>0</v>
      </c>
      <c r="C172" s="4">
        <v>0</v>
      </c>
      <c r="D172" s="4">
        <v>1</v>
      </c>
      <c r="E172" s="4">
        <v>223</v>
      </c>
      <c r="F172" s="4">
        <f>ROUND(Source!AQ162,O172)</f>
        <v>0</v>
      </c>
      <c r="G172" s="4" t="s">
        <v>329</v>
      </c>
      <c r="H172" s="4" t="s">
        <v>330</v>
      </c>
      <c r="I172" s="4"/>
      <c r="J172" s="4"/>
      <c r="K172" s="4">
        <v>223</v>
      </c>
      <c r="L172" s="4">
        <v>9</v>
      </c>
      <c r="M172" s="4">
        <v>3</v>
      </c>
      <c r="N172" s="4" t="s">
        <v>3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206" x14ac:dyDescent="0.2">
      <c r="A173" s="4">
        <v>50</v>
      </c>
      <c r="B173" s="4">
        <v>0</v>
      </c>
      <c r="C173" s="4">
        <v>0</v>
      </c>
      <c r="D173" s="4">
        <v>1</v>
      </c>
      <c r="E173" s="4">
        <v>229</v>
      </c>
      <c r="F173" s="4">
        <f>ROUND(Source!AZ162,O173)</f>
        <v>0</v>
      </c>
      <c r="G173" s="4" t="s">
        <v>331</v>
      </c>
      <c r="H173" s="4" t="s">
        <v>332</v>
      </c>
      <c r="I173" s="4"/>
      <c r="J173" s="4"/>
      <c r="K173" s="4">
        <v>229</v>
      </c>
      <c r="L173" s="4">
        <v>10</v>
      </c>
      <c r="M173" s="4">
        <v>3</v>
      </c>
      <c r="N173" s="4" t="s">
        <v>3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4" spans="1:206" x14ac:dyDescent="0.2">
      <c r="A174" s="4">
        <v>50</v>
      </c>
      <c r="B174" s="4">
        <v>0</v>
      </c>
      <c r="C174" s="4">
        <v>0</v>
      </c>
      <c r="D174" s="4">
        <v>1</v>
      </c>
      <c r="E174" s="4">
        <v>203</v>
      </c>
      <c r="F174" s="4">
        <f>ROUND(Source!Q162,O174)</f>
        <v>861.8</v>
      </c>
      <c r="G174" s="4" t="s">
        <v>333</v>
      </c>
      <c r="H174" s="4" t="s">
        <v>334</v>
      </c>
      <c r="I174" s="4"/>
      <c r="J174" s="4"/>
      <c r="K174" s="4">
        <v>203</v>
      </c>
      <c r="L174" s="4">
        <v>11</v>
      </c>
      <c r="M174" s="4">
        <v>3</v>
      </c>
      <c r="N174" s="4" t="s">
        <v>3</v>
      </c>
      <c r="O174" s="4">
        <v>2</v>
      </c>
      <c r="P174" s="4"/>
      <c r="Q174" s="4"/>
      <c r="R174" s="4"/>
      <c r="S174" s="4"/>
      <c r="T174" s="4"/>
      <c r="U174" s="4"/>
      <c r="V174" s="4"/>
      <c r="W174" s="4"/>
    </row>
    <row r="175" spans="1:206" x14ac:dyDescent="0.2">
      <c r="A175" s="4">
        <v>50</v>
      </c>
      <c r="B175" s="4">
        <v>0</v>
      </c>
      <c r="C175" s="4">
        <v>0</v>
      </c>
      <c r="D175" s="4">
        <v>1</v>
      </c>
      <c r="E175" s="4">
        <v>231</v>
      </c>
      <c r="F175" s="4">
        <f>ROUND(Source!BB162,O175)</f>
        <v>0</v>
      </c>
      <c r="G175" s="4" t="s">
        <v>335</v>
      </c>
      <c r="H175" s="4" t="s">
        <v>336</v>
      </c>
      <c r="I175" s="4"/>
      <c r="J175" s="4"/>
      <c r="K175" s="4">
        <v>231</v>
      </c>
      <c r="L175" s="4">
        <v>12</v>
      </c>
      <c r="M175" s="4">
        <v>3</v>
      </c>
      <c r="N175" s="4" t="s">
        <v>3</v>
      </c>
      <c r="O175" s="4">
        <v>2</v>
      </c>
      <c r="P175" s="4"/>
      <c r="Q175" s="4"/>
      <c r="R175" s="4"/>
      <c r="S175" s="4"/>
      <c r="T175" s="4"/>
      <c r="U175" s="4"/>
      <c r="V175" s="4"/>
      <c r="W175" s="4"/>
    </row>
    <row r="176" spans="1:206" x14ac:dyDescent="0.2">
      <c r="A176" s="4">
        <v>50</v>
      </c>
      <c r="B176" s="4">
        <v>0</v>
      </c>
      <c r="C176" s="4">
        <v>0</v>
      </c>
      <c r="D176" s="4">
        <v>1</v>
      </c>
      <c r="E176" s="4">
        <v>204</v>
      </c>
      <c r="F176" s="4">
        <f>ROUND(Source!R162,O176)</f>
        <v>100.6</v>
      </c>
      <c r="G176" s="4" t="s">
        <v>337</v>
      </c>
      <c r="H176" s="4" t="s">
        <v>338</v>
      </c>
      <c r="I176" s="4"/>
      <c r="J176" s="4"/>
      <c r="K176" s="4">
        <v>204</v>
      </c>
      <c r="L176" s="4">
        <v>13</v>
      </c>
      <c r="M176" s="4">
        <v>3</v>
      </c>
      <c r="N176" s="4" t="s">
        <v>3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88" x14ac:dyDescent="0.2">
      <c r="A177" s="4">
        <v>50</v>
      </c>
      <c r="B177" s="4">
        <v>0</v>
      </c>
      <c r="C177" s="4">
        <v>0</v>
      </c>
      <c r="D177" s="4">
        <v>1</v>
      </c>
      <c r="E177" s="4">
        <v>205</v>
      </c>
      <c r="F177" s="4">
        <f>ROUND(Source!S162,O177)</f>
        <v>8907.09</v>
      </c>
      <c r="G177" s="4" t="s">
        <v>339</v>
      </c>
      <c r="H177" s="4" t="s">
        <v>340</v>
      </c>
      <c r="I177" s="4"/>
      <c r="J177" s="4"/>
      <c r="K177" s="4">
        <v>205</v>
      </c>
      <c r="L177" s="4">
        <v>14</v>
      </c>
      <c r="M177" s="4">
        <v>3</v>
      </c>
      <c r="N177" s="4" t="s">
        <v>3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88" x14ac:dyDescent="0.2">
      <c r="A178" s="4">
        <v>50</v>
      </c>
      <c r="B178" s="4">
        <v>0</v>
      </c>
      <c r="C178" s="4">
        <v>0</v>
      </c>
      <c r="D178" s="4">
        <v>1</v>
      </c>
      <c r="E178" s="4">
        <v>232</v>
      </c>
      <c r="F178" s="4">
        <f>ROUND(Source!BC162,O178)</f>
        <v>0</v>
      </c>
      <c r="G178" s="4" t="s">
        <v>341</v>
      </c>
      <c r="H178" s="4" t="s">
        <v>342</v>
      </c>
      <c r="I178" s="4"/>
      <c r="J178" s="4"/>
      <c r="K178" s="4">
        <v>232</v>
      </c>
      <c r="L178" s="4">
        <v>15</v>
      </c>
      <c r="M178" s="4">
        <v>3</v>
      </c>
      <c r="N178" s="4" t="s">
        <v>3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88" x14ac:dyDescent="0.2">
      <c r="A179" s="4">
        <v>50</v>
      </c>
      <c r="B179" s="4">
        <v>0</v>
      </c>
      <c r="C179" s="4">
        <v>0</v>
      </c>
      <c r="D179" s="4">
        <v>1</v>
      </c>
      <c r="E179" s="4">
        <v>214</v>
      </c>
      <c r="F179" s="4">
        <f>ROUND(Source!AS162,O179)</f>
        <v>0</v>
      </c>
      <c r="G179" s="4" t="s">
        <v>343</v>
      </c>
      <c r="H179" s="4" t="s">
        <v>344</v>
      </c>
      <c r="I179" s="4"/>
      <c r="J179" s="4"/>
      <c r="K179" s="4">
        <v>214</v>
      </c>
      <c r="L179" s="4">
        <v>16</v>
      </c>
      <c r="M179" s="4">
        <v>3</v>
      </c>
      <c r="N179" s="4" t="s">
        <v>3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0" spans="1:88" x14ac:dyDescent="0.2">
      <c r="A180" s="4">
        <v>50</v>
      </c>
      <c r="B180" s="4">
        <v>0</v>
      </c>
      <c r="C180" s="4">
        <v>0</v>
      </c>
      <c r="D180" s="4">
        <v>1</v>
      </c>
      <c r="E180" s="4">
        <v>215</v>
      </c>
      <c r="F180" s="4">
        <f>ROUND(Source!AT162,O180)</f>
        <v>176820</v>
      </c>
      <c r="G180" s="4" t="s">
        <v>345</v>
      </c>
      <c r="H180" s="4" t="s">
        <v>346</v>
      </c>
      <c r="I180" s="4"/>
      <c r="J180" s="4"/>
      <c r="K180" s="4">
        <v>215</v>
      </c>
      <c r="L180" s="4">
        <v>17</v>
      </c>
      <c r="M180" s="4">
        <v>3</v>
      </c>
      <c r="N180" s="4" t="s">
        <v>3</v>
      </c>
      <c r="O180" s="4">
        <v>2</v>
      </c>
      <c r="P180" s="4"/>
      <c r="Q180" s="4"/>
      <c r="R180" s="4"/>
      <c r="S180" s="4"/>
      <c r="T180" s="4"/>
      <c r="U180" s="4"/>
      <c r="V180" s="4"/>
      <c r="W180" s="4"/>
    </row>
    <row r="181" spans="1:88" x14ac:dyDescent="0.2">
      <c r="A181" s="4">
        <v>50</v>
      </c>
      <c r="B181" s="4">
        <v>0</v>
      </c>
      <c r="C181" s="4">
        <v>0</v>
      </c>
      <c r="D181" s="4">
        <v>1</v>
      </c>
      <c r="E181" s="4">
        <v>217</v>
      </c>
      <c r="F181" s="4">
        <f>ROUND(Source!AU162,O181)</f>
        <v>0</v>
      </c>
      <c r="G181" s="4" t="s">
        <v>347</v>
      </c>
      <c r="H181" s="4" t="s">
        <v>348</v>
      </c>
      <c r="I181" s="4"/>
      <c r="J181" s="4"/>
      <c r="K181" s="4">
        <v>217</v>
      </c>
      <c r="L181" s="4">
        <v>18</v>
      </c>
      <c r="M181" s="4">
        <v>3</v>
      </c>
      <c r="N181" s="4" t="s">
        <v>3</v>
      </c>
      <c r="O181" s="4">
        <v>2</v>
      </c>
      <c r="P181" s="4"/>
      <c r="Q181" s="4"/>
      <c r="R181" s="4"/>
      <c r="S181" s="4"/>
      <c r="T181" s="4"/>
      <c r="U181" s="4"/>
      <c r="V181" s="4"/>
      <c r="W181" s="4"/>
    </row>
    <row r="182" spans="1:88" x14ac:dyDescent="0.2">
      <c r="A182" s="4">
        <v>50</v>
      </c>
      <c r="B182" s="4">
        <v>0</v>
      </c>
      <c r="C182" s="4">
        <v>0</v>
      </c>
      <c r="D182" s="4">
        <v>1</v>
      </c>
      <c r="E182" s="4">
        <v>230</v>
      </c>
      <c r="F182" s="4">
        <f>ROUND(Source!BA162,O182)</f>
        <v>0</v>
      </c>
      <c r="G182" s="4" t="s">
        <v>349</v>
      </c>
      <c r="H182" s="4" t="s">
        <v>350</v>
      </c>
      <c r="I182" s="4"/>
      <c r="J182" s="4"/>
      <c r="K182" s="4">
        <v>230</v>
      </c>
      <c r="L182" s="4">
        <v>19</v>
      </c>
      <c r="M182" s="4">
        <v>3</v>
      </c>
      <c r="N182" s="4" t="s">
        <v>3</v>
      </c>
      <c r="O182" s="4">
        <v>2</v>
      </c>
      <c r="P182" s="4"/>
      <c r="Q182" s="4"/>
      <c r="R182" s="4"/>
      <c r="S182" s="4"/>
      <c r="T182" s="4"/>
      <c r="U182" s="4"/>
      <c r="V182" s="4"/>
      <c r="W182" s="4"/>
    </row>
    <row r="183" spans="1:88" x14ac:dyDescent="0.2">
      <c r="A183" s="4">
        <v>50</v>
      </c>
      <c r="B183" s="4">
        <v>0</v>
      </c>
      <c r="C183" s="4">
        <v>0</v>
      </c>
      <c r="D183" s="4">
        <v>1</v>
      </c>
      <c r="E183" s="4">
        <v>206</v>
      </c>
      <c r="F183" s="4">
        <f>ROUND(Source!T162,O183)</f>
        <v>0</v>
      </c>
      <c r="G183" s="4" t="s">
        <v>351</v>
      </c>
      <c r="H183" s="4" t="s">
        <v>352</v>
      </c>
      <c r="I183" s="4"/>
      <c r="J183" s="4"/>
      <c r="K183" s="4">
        <v>206</v>
      </c>
      <c r="L183" s="4">
        <v>20</v>
      </c>
      <c r="M183" s="4">
        <v>3</v>
      </c>
      <c r="N183" s="4" t="s">
        <v>3</v>
      </c>
      <c r="O183" s="4">
        <v>2</v>
      </c>
      <c r="P183" s="4"/>
      <c r="Q183" s="4"/>
      <c r="R183" s="4"/>
      <c r="S183" s="4"/>
      <c r="T183" s="4"/>
      <c r="U183" s="4"/>
      <c r="V183" s="4"/>
      <c r="W183" s="4"/>
    </row>
    <row r="184" spans="1:88" x14ac:dyDescent="0.2">
      <c r="A184" s="4">
        <v>50</v>
      </c>
      <c r="B184" s="4">
        <v>0</v>
      </c>
      <c r="C184" s="4">
        <v>0</v>
      </c>
      <c r="D184" s="4">
        <v>1</v>
      </c>
      <c r="E184" s="4">
        <v>207</v>
      </c>
      <c r="F184" s="4">
        <f>Source!U162</f>
        <v>151.01688000000001</v>
      </c>
      <c r="G184" s="4" t="s">
        <v>353</v>
      </c>
      <c r="H184" s="4" t="s">
        <v>354</v>
      </c>
      <c r="I184" s="4"/>
      <c r="J184" s="4"/>
      <c r="K184" s="4">
        <v>207</v>
      </c>
      <c r="L184" s="4">
        <v>21</v>
      </c>
      <c r="M184" s="4">
        <v>3</v>
      </c>
      <c r="N184" s="4" t="s">
        <v>3</v>
      </c>
      <c r="O184" s="4">
        <v>-1</v>
      </c>
      <c r="P184" s="4"/>
      <c r="Q184" s="4"/>
      <c r="R184" s="4"/>
      <c r="S184" s="4"/>
      <c r="T184" s="4"/>
      <c r="U184" s="4"/>
      <c r="V184" s="4"/>
      <c r="W184" s="4"/>
    </row>
    <row r="185" spans="1:88" x14ac:dyDescent="0.2">
      <c r="A185" s="4">
        <v>50</v>
      </c>
      <c r="B185" s="4">
        <v>0</v>
      </c>
      <c r="C185" s="4">
        <v>0</v>
      </c>
      <c r="D185" s="4">
        <v>1</v>
      </c>
      <c r="E185" s="4">
        <v>208</v>
      </c>
      <c r="F185" s="4">
        <f>Source!V162</f>
        <v>1.3057600000000003</v>
      </c>
      <c r="G185" s="4" t="s">
        <v>355</v>
      </c>
      <c r="H185" s="4" t="s">
        <v>356</v>
      </c>
      <c r="I185" s="4"/>
      <c r="J185" s="4"/>
      <c r="K185" s="4">
        <v>208</v>
      </c>
      <c r="L185" s="4">
        <v>22</v>
      </c>
      <c r="M185" s="4">
        <v>3</v>
      </c>
      <c r="N185" s="4" t="s">
        <v>3</v>
      </c>
      <c r="O185" s="4">
        <v>-1</v>
      </c>
      <c r="P185" s="4"/>
      <c r="Q185" s="4"/>
      <c r="R185" s="4"/>
      <c r="S185" s="4"/>
      <c r="T185" s="4"/>
      <c r="U185" s="4"/>
      <c r="V185" s="4"/>
      <c r="W185" s="4"/>
    </row>
    <row r="186" spans="1:88" x14ac:dyDescent="0.2">
      <c r="A186" s="4">
        <v>50</v>
      </c>
      <c r="B186" s="4">
        <v>0</v>
      </c>
      <c r="C186" s="4">
        <v>0</v>
      </c>
      <c r="D186" s="4">
        <v>1</v>
      </c>
      <c r="E186" s="4">
        <v>209</v>
      </c>
      <c r="F186" s="4">
        <f>ROUND(Source!W162,O186)</f>
        <v>0</v>
      </c>
      <c r="G186" s="4" t="s">
        <v>357</v>
      </c>
      <c r="H186" s="4" t="s">
        <v>358</v>
      </c>
      <c r="I186" s="4"/>
      <c r="J186" s="4"/>
      <c r="K186" s="4">
        <v>209</v>
      </c>
      <c r="L186" s="4">
        <v>23</v>
      </c>
      <c r="M186" s="4">
        <v>3</v>
      </c>
      <c r="N186" s="4" t="s">
        <v>3</v>
      </c>
      <c r="O186" s="4">
        <v>2</v>
      </c>
      <c r="P186" s="4"/>
      <c r="Q186" s="4"/>
      <c r="R186" s="4"/>
      <c r="S186" s="4"/>
      <c r="T186" s="4"/>
      <c r="U186" s="4"/>
      <c r="V186" s="4"/>
      <c r="W186" s="4"/>
    </row>
    <row r="187" spans="1:88" x14ac:dyDescent="0.2">
      <c r="A187" s="4">
        <v>50</v>
      </c>
      <c r="B187" s="4">
        <v>0</v>
      </c>
      <c r="C187" s="4">
        <v>0</v>
      </c>
      <c r="D187" s="4">
        <v>1</v>
      </c>
      <c r="E187" s="4">
        <v>210</v>
      </c>
      <c r="F187" s="4">
        <f>ROUND(Source!X162,O187)</f>
        <v>8551.93</v>
      </c>
      <c r="G187" s="4" t="s">
        <v>359</v>
      </c>
      <c r="H187" s="4" t="s">
        <v>360</v>
      </c>
      <c r="I187" s="4"/>
      <c r="J187" s="4"/>
      <c r="K187" s="4">
        <v>210</v>
      </c>
      <c r="L187" s="4">
        <v>24</v>
      </c>
      <c r="M187" s="4">
        <v>3</v>
      </c>
      <c r="N187" s="4" t="s">
        <v>3</v>
      </c>
      <c r="O187" s="4">
        <v>2</v>
      </c>
      <c r="P187" s="4"/>
      <c r="Q187" s="4"/>
      <c r="R187" s="4"/>
      <c r="S187" s="4"/>
      <c r="T187" s="4"/>
      <c r="U187" s="4"/>
      <c r="V187" s="4"/>
      <c r="W187" s="4"/>
    </row>
    <row r="188" spans="1:88" x14ac:dyDescent="0.2">
      <c r="A188" s="4">
        <v>50</v>
      </c>
      <c r="B188" s="4">
        <v>0</v>
      </c>
      <c r="C188" s="4">
        <v>0</v>
      </c>
      <c r="D188" s="4">
        <v>1</v>
      </c>
      <c r="E188" s="4">
        <v>211</v>
      </c>
      <c r="F188" s="4">
        <f>ROUND(Source!Y162,O188)</f>
        <v>5853.21</v>
      </c>
      <c r="G188" s="4" t="s">
        <v>361</v>
      </c>
      <c r="H188" s="4" t="s">
        <v>362</v>
      </c>
      <c r="I188" s="4"/>
      <c r="J188" s="4"/>
      <c r="K188" s="4">
        <v>211</v>
      </c>
      <c r="L188" s="4">
        <v>25</v>
      </c>
      <c r="M188" s="4">
        <v>3</v>
      </c>
      <c r="N188" s="4" t="s">
        <v>3</v>
      </c>
      <c r="O188" s="4">
        <v>2</v>
      </c>
      <c r="P188" s="4"/>
      <c r="Q188" s="4"/>
      <c r="R188" s="4"/>
      <c r="S188" s="4"/>
      <c r="T188" s="4"/>
      <c r="U188" s="4"/>
      <c r="V188" s="4"/>
      <c r="W188" s="4"/>
    </row>
    <row r="189" spans="1:88" x14ac:dyDescent="0.2">
      <c r="A189" s="4">
        <v>50</v>
      </c>
      <c r="B189" s="4">
        <v>0</v>
      </c>
      <c r="C189" s="4">
        <v>0</v>
      </c>
      <c r="D189" s="4">
        <v>1</v>
      </c>
      <c r="E189" s="4">
        <v>224</v>
      </c>
      <c r="F189" s="4">
        <f>ROUND(Source!AR162,O189)</f>
        <v>176820</v>
      </c>
      <c r="G189" s="4" t="s">
        <v>363</v>
      </c>
      <c r="H189" s="4" t="s">
        <v>364</v>
      </c>
      <c r="I189" s="4"/>
      <c r="J189" s="4"/>
      <c r="K189" s="4">
        <v>224</v>
      </c>
      <c r="L189" s="4">
        <v>26</v>
      </c>
      <c r="M189" s="4">
        <v>3</v>
      </c>
      <c r="N189" s="4" t="s">
        <v>3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1" spans="1:88" x14ac:dyDescent="0.2">
      <c r="A191" s="1">
        <v>4</v>
      </c>
      <c r="B191" s="1">
        <v>1</v>
      </c>
      <c r="C191" s="1"/>
      <c r="D191" s="1">
        <f>ROW(A199)</f>
        <v>199</v>
      </c>
      <c r="E191" s="1"/>
      <c r="F191" s="1" t="s">
        <v>12</v>
      </c>
      <c r="G191" s="1" t="s">
        <v>484</v>
      </c>
      <c r="H191" s="1" t="s">
        <v>3</v>
      </c>
      <c r="I191" s="1">
        <v>0</v>
      </c>
      <c r="J191" s="1"/>
      <c r="K191" s="1">
        <v>-1</v>
      </c>
      <c r="L191" s="1"/>
      <c r="M191" s="1"/>
      <c r="N191" s="1"/>
      <c r="O191" s="1"/>
      <c r="P191" s="1"/>
      <c r="Q191" s="1"/>
      <c r="R191" s="1"/>
      <c r="S191" s="1"/>
      <c r="T191" s="1"/>
      <c r="U191" s="1" t="s">
        <v>3</v>
      </c>
      <c r="V191" s="1">
        <v>0</v>
      </c>
      <c r="W191" s="1"/>
      <c r="X191" s="1"/>
      <c r="Y191" s="1"/>
      <c r="Z191" s="1"/>
      <c r="AA191" s="1"/>
      <c r="AB191" s="1" t="s">
        <v>3</v>
      </c>
      <c r="AC191" s="1" t="s">
        <v>3</v>
      </c>
      <c r="AD191" s="1" t="s">
        <v>3</v>
      </c>
      <c r="AE191" s="1" t="s">
        <v>3</v>
      </c>
      <c r="AF191" s="1" t="s">
        <v>3</v>
      </c>
      <c r="AG191" s="1" t="s">
        <v>3</v>
      </c>
      <c r="AH191" s="1"/>
      <c r="AI191" s="1"/>
      <c r="AJ191" s="1"/>
      <c r="AK191" s="1"/>
      <c r="AL191" s="1"/>
      <c r="AM191" s="1"/>
      <c r="AN191" s="1"/>
      <c r="AO191" s="1"/>
      <c r="AP191" s="1" t="s">
        <v>3</v>
      </c>
      <c r="AQ191" s="1" t="s">
        <v>3</v>
      </c>
      <c r="AR191" s="1" t="s">
        <v>3</v>
      </c>
      <c r="AS191" s="1"/>
      <c r="AT191" s="1"/>
      <c r="AU191" s="1"/>
      <c r="AV191" s="1"/>
      <c r="AW191" s="1"/>
      <c r="AX191" s="1"/>
      <c r="AY191" s="1"/>
      <c r="AZ191" s="1" t="s">
        <v>3</v>
      </c>
      <c r="BA191" s="1"/>
      <c r="BB191" s="1" t="s">
        <v>3</v>
      </c>
      <c r="BC191" s="1" t="s">
        <v>3</v>
      </c>
      <c r="BD191" s="1" t="s">
        <v>3</v>
      </c>
      <c r="BE191" s="1" t="s">
        <v>3</v>
      </c>
      <c r="BF191" s="1" t="s">
        <v>3</v>
      </c>
      <c r="BG191" s="1" t="s">
        <v>3</v>
      </c>
      <c r="BH191" s="1" t="s">
        <v>3</v>
      </c>
      <c r="BI191" s="1" t="s">
        <v>3</v>
      </c>
      <c r="BJ191" s="1" t="s">
        <v>3</v>
      </c>
      <c r="BK191" s="1" t="s">
        <v>3</v>
      </c>
      <c r="BL191" s="1" t="s">
        <v>3</v>
      </c>
      <c r="BM191" s="1" t="s">
        <v>3</v>
      </c>
      <c r="BN191" s="1" t="s">
        <v>3</v>
      </c>
      <c r="BO191" s="1" t="s">
        <v>3</v>
      </c>
      <c r="BP191" s="1" t="s">
        <v>3</v>
      </c>
      <c r="BQ191" s="1"/>
      <c r="BR191" s="1"/>
      <c r="BS191" s="1"/>
      <c r="BT191" s="1"/>
      <c r="BU191" s="1"/>
      <c r="BV191" s="1"/>
      <c r="BW191" s="1"/>
      <c r="BX191" s="1">
        <v>0</v>
      </c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>
        <v>0</v>
      </c>
    </row>
    <row r="193" spans="1:245" x14ac:dyDescent="0.2">
      <c r="A193" s="2">
        <v>52</v>
      </c>
      <c r="B193" s="2">
        <f t="shared" ref="B193:G193" si="182">B199</f>
        <v>1</v>
      </c>
      <c r="C193" s="2">
        <f t="shared" si="182"/>
        <v>4</v>
      </c>
      <c r="D193" s="2">
        <f t="shared" si="182"/>
        <v>191</v>
      </c>
      <c r="E193" s="2">
        <f t="shared" si="182"/>
        <v>0</v>
      </c>
      <c r="F193" s="2" t="str">
        <f t="shared" si="182"/>
        <v>Новый раздел</v>
      </c>
      <c r="G193" s="2" t="str">
        <f t="shared" si="182"/>
        <v>Пусконаладочные работы систем электроснабжения и электроосвещения</v>
      </c>
      <c r="H193" s="2"/>
      <c r="I193" s="2"/>
      <c r="J193" s="2"/>
      <c r="K193" s="2"/>
      <c r="L193" s="2"/>
      <c r="M193" s="2"/>
      <c r="N193" s="2"/>
      <c r="O193" s="2">
        <f t="shared" ref="O193:AT193" si="183">O199</f>
        <v>1883.52</v>
      </c>
      <c r="P193" s="2">
        <f t="shared" si="183"/>
        <v>0</v>
      </c>
      <c r="Q193" s="2">
        <f t="shared" si="183"/>
        <v>0</v>
      </c>
      <c r="R193" s="2">
        <f t="shared" si="183"/>
        <v>0</v>
      </c>
      <c r="S193" s="2">
        <f t="shared" si="183"/>
        <v>1883.52</v>
      </c>
      <c r="T193" s="2">
        <f t="shared" si="183"/>
        <v>0</v>
      </c>
      <c r="U193" s="2">
        <f t="shared" si="183"/>
        <v>10.26816</v>
      </c>
      <c r="V193" s="2">
        <f t="shared" si="183"/>
        <v>0</v>
      </c>
      <c r="W193" s="2">
        <f t="shared" si="183"/>
        <v>0</v>
      </c>
      <c r="X193" s="2">
        <f t="shared" si="183"/>
        <v>1224.28</v>
      </c>
      <c r="Y193" s="2">
        <f t="shared" si="183"/>
        <v>753.41</v>
      </c>
      <c r="Z193" s="2">
        <f t="shared" si="183"/>
        <v>0</v>
      </c>
      <c r="AA193" s="2">
        <f t="shared" si="183"/>
        <v>0</v>
      </c>
      <c r="AB193" s="2">
        <f t="shared" si="183"/>
        <v>1883.52</v>
      </c>
      <c r="AC193" s="2">
        <f t="shared" si="183"/>
        <v>0</v>
      </c>
      <c r="AD193" s="2">
        <f t="shared" si="183"/>
        <v>0</v>
      </c>
      <c r="AE193" s="2">
        <f t="shared" si="183"/>
        <v>0</v>
      </c>
      <c r="AF193" s="2">
        <f t="shared" si="183"/>
        <v>1883.52</v>
      </c>
      <c r="AG193" s="2">
        <f t="shared" si="183"/>
        <v>0</v>
      </c>
      <c r="AH193" s="2">
        <f t="shared" si="183"/>
        <v>10.26816</v>
      </c>
      <c r="AI193" s="2">
        <f t="shared" si="183"/>
        <v>0</v>
      </c>
      <c r="AJ193" s="2">
        <f t="shared" si="183"/>
        <v>0</v>
      </c>
      <c r="AK193" s="2">
        <f t="shared" si="183"/>
        <v>1224.28</v>
      </c>
      <c r="AL193" s="2">
        <f t="shared" si="183"/>
        <v>753.41</v>
      </c>
      <c r="AM193" s="2">
        <f t="shared" si="183"/>
        <v>0</v>
      </c>
      <c r="AN193" s="2">
        <f t="shared" si="183"/>
        <v>0</v>
      </c>
      <c r="AO193" s="2">
        <f t="shared" si="183"/>
        <v>0</v>
      </c>
      <c r="AP193" s="2">
        <f t="shared" si="183"/>
        <v>0</v>
      </c>
      <c r="AQ193" s="2">
        <f t="shared" si="183"/>
        <v>0</v>
      </c>
      <c r="AR193" s="2">
        <f t="shared" si="183"/>
        <v>3861.21</v>
      </c>
      <c r="AS193" s="2">
        <f t="shared" si="183"/>
        <v>0</v>
      </c>
      <c r="AT193" s="2">
        <f t="shared" si="183"/>
        <v>0</v>
      </c>
      <c r="AU193" s="2">
        <f t="shared" ref="AU193:BZ193" si="184">AU199</f>
        <v>3861.21</v>
      </c>
      <c r="AV193" s="2">
        <f t="shared" si="184"/>
        <v>0</v>
      </c>
      <c r="AW193" s="2">
        <f t="shared" si="184"/>
        <v>0</v>
      </c>
      <c r="AX193" s="2">
        <f t="shared" si="184"/>
        <v>0</v>
      </c>
      <c r="AY193" s="2">
        <f t="shared" si="184"/>
        <v>0</v>
      </c>
      <c r="AZ193" s="2">
        <f t="shared" si="184"/>
        <v>0</v>
      </c>
      <c r="BA193" s="2">
        <f t="shared" si="184"/>
        <v>0</v>
      </c>
      <c r="BB193" s="2">
        <f t="shared" si="184"/>
        <v>0</v>
      </c>
      <c r="BC193" s="2">
        <f t="shared" si="184"/>
        <v>0</v>
      </c>
      <c r="BD193" s="2">
        <f t="shared" si="184"/>
        <v>0</v>
      </c>
      <c r="BE193" s="2">
        <f t="shared" si="184"/>
        <v>0</v>
      </c>
      <c r="BF193" s="2">
        <f t="shared" si="184"/>
        <v>0</v>
      </c>
      <c r="BG193" s="2">
        <f t="shared" si="184"/>
        <v>0</v>
      </c>
      <c r="BH193" s="2">
        <f t="shared" si="184"/>
        <v>0</v>
      </c>
      <c r="BI193" s="2">
        <f t="shared" si="184"/>
        <v>0</v>
      </c>
      <c r="BJ193" s="2">
        <f t="shared" si="184"/>
        <v>0</v>
      </c>
      <c r="BK193" s="2">
        <f t="shared" si="184"/>
        <v>0</v>
      </c>
      <c r="BL193" s="2">
        <f t="shared" si="184"/>
        <v>0</v>
      </c>
      <c r="BM193" s="2">
        <f t="shared" si="184"/>
        <v>0</v>
      </c>
      <c r="BN193" s="2">
        <f t="shared" si="184"/>
        <v>0</v>
      </c>
      <c r="BO193" s="2">
        <f t="shared" si="184"/>
        <v>0</v>
      </c>
      <c r="BP193" s="2">
        <f t="shared" si="184"/>
        <v>0</v>
      </c>
      <c r="BQ193" s="2">
        <f t="shared" si="184"/>
        <v>0</v>
      </c>
      <c r="BR193" s="2">
        <f t="shared" si="184"/>
        <v>0</v>
      </c>
      <c r="BS193" s="2">
        <f t="shared" si="184"/>
        <v>0</v>
      </c>
      <c r="BT193" s="2">
        <f t="shared" si="184"/>
        <v>0</v>
      </c>
      <c r="BU193" s="2">
        <f t="shared" si="184"/>
        <v>0</v>
      </c>
      <c r="BV193" s="2">
        <f t="shared" si="184"/>
        <v>0</v>
      </c>
      <c r="BW193" s="2">
        <f t="shared" si="184"/>
        <v>0</v>
      </c>
      <c r="BX193" s="2">
        <f t="shared" si="184"/>
        <v>0</v>
      </c>
      <c r="BY193" s="2">
        <f t="shared" si="184"/>
        <v>0</v>
      </c>
      <c r="BZ193" s="2">
        <f t="shared" si="184"/>
        <v>0</v>
      </c>
      <c r="CA193" s="2">
        <f t="shared" ref="CA193:DF193" si="185">CA199</f>
        <v>3861.21</v>
      </c>
      <c r="CB193" s="2">
        <f t="shared" si="185"/>
        <v>0</v>
      </c>
      <c r="CC193" s="2">
        <f t="shared" si="185"/>
        <v>0</v>
      </c>
      <c r="CD193" s="2">
        <f t="shared" si="185"/>
        <v>3861.21</v>
      </c>
      <c r="CE193" s="2">
        <f t="shared" si="185"/>
        <v>0</v>
      </c>
      <c r="CF193" s="2">
        <f t="shared" si="185"/>
        <v>0</v>
      </c>
      <c r="CG193" s="2">
        <f t="shared" si="185"/>
        <v>0</v>
      </c>
      <c r="CH193" s="2">
        <f t="shared" si="185"/>
        <v>0</v>
      </c>
      <c r="CI193" s="2">
        <f t="shared" si="185"/>
        <v>0</v>
      </c>
      <c r="CJ193" s="2">
        <f t="shared" si="185"/>
        <v>0</v>
      </c>
      <c r="CK193" s="2">
        <f t="shared" si="185"/>
        <v>0</v>
      </c>
      <c r="CL193" s="2">
        <f t="shared" si="185"/>
        <v>0</v>
      </c>
      <c r="CM193" s="2">
        <f t="shared" si="185"/>
        <v>0</v>
      </c>
      <c r="CN193" s="2">
        <f t="shared" si="185"/>
        <v>0</v>
      </c>
      <c r="CO193" s="2">
        <f t="shared" si="185"/>
        <v>0</v>
      </c>
      <c r="CP193" s="2">
        <f t="shared" si="185"/>
        <v>0</v>
      </c>
      <c r="CQ193" s="2">
        <f t="shared" si="185"/>
        <v>0</v>
      </c>
      <c r="CR193" s="2">
        <f t="shared" si="185"/>
        <v>0</v>
      </c>
      <c r="CS193" s="2">
        <f t="shared" si="185"/>
        <v>0</v>
      </c>
      <c r="CT193" s="2">
        <f t="shared" si="185"/>
        <v>0</v>
      </c>
      <c r="CU193" s="2">
        <f t="shared" si="185"/>
        <v>0</v>
      </c>
      <c r="CV193" s="2">
        <f t="shared" si="185"/>
        <v>0</v>
      </c>
      <c r="CW193" s="2">
        <f t="shared" si="185"/>
        <v>0</v>
      </c>
      <c r="CX193" s="2">
        <f t="shared" si="185"/>
        <v>0</v>
      </c>
      <c r="CY193" s="2">
        <f t="shared" si="185"/>
        <v>0</v>
      </c>
      <c r="CZ193" s="2">
        <f t="shared" si="185"/>
        <v>0</v>
      </c>
      <c r="DA193" s="2">
        <f t="shared" si="185"/>
        <v>0</v>
      </c>
      <c r="DB193" s="2">
        <f t="shared" si="185"/>
        <v>0</v>
      </c>
      <c r="DC193" s="2">
        <f t="shared" si="185"/>
        <v>0</v>
      </c>
      <c r="DD193" s="2">
        <f t="shared" si="185"/>
        <v>0</v>
      </c>
      <c r="DE193" s="2">
        <f t="shared" si="185"/>
        <v>0</v>
      </c>
      <c r="DF193" s="2">
        <f t="shared" si="185"/>
        <v>0</v>
      </c>
      <c r="DG193" s="3">
        <f t="shared" ref="DG193:EL193" si="186">DG199</f>
        <v>0</v>
      </c>
      <c r="DH193" s="3">
        <f t="shared" si="186"/>
        <v>0</v>
      </c>
      <c r="DI193" s="3">
        <f t="shared" si="186"/>
        <v>0</v>
      </c>
      <c r="DJ193" s="3">
        <f t="shared" si="186"/>
        <v>0</v>
      </c>
      <c r="DK193" s="3">
        <f t="shared" si="186"/>
        <v>0</v>
      </c>
      <c r="DL193" s="3">
        <f t="shared" si="186"/>
        <v>0</v>
      </c>
      <c r="DM193" s="3">
        <f t="shared" si="186"/>
        <v>0</v>
      </c>
      <c r="DN193" s="3">
        <f t="shared" si="186"/>
        <v>0</v>
      </c>
      <c r="DO193" s="3">
        <f t="shared" si="186"/>
        <v>0</v>
      </c>
      <c r="DP193" s="3">
        <f t="shared" si="186"/>
        <v>0</v>
      </c>
      <c r="DQ193" s="3">
        <f t="shared" si="186"/>
        <v>0</v>
      </c>
      <c r="DR193" s="3">
        <f t="shared" si="186"/>
        <v>0</v>
      </c>
      <c r="DS193" s="3">
        <f t="shared" si="186"/>
        <v>0</v>
      </c>
      <c r="DT193" s="3">
        <f t="shared" si="186"/>
        <v>0</v>
      </c>
      <c r="DU193" s="3">
        <f t="shared" si="186"/>
        <v>0</v>
      </c>
      <c r="DV193" s="3">
        <f t="shared" si="186"/>
        <v>0</v>
      </c>
      <c r="DW193" s="3">
        <f t="shared" si="186"/>
        <v>0</v>
      </c>
      <c r="DX193" s="3">
        <f t="shared" si="186"/>
        <v>0</v>
      </c>
      <c r="DY193" s="3">
        <f t="shared" si="186"/>
        <v>0</v>
      </c>
      <c r="DZ193" s="3">
        <f t="shared" si="186"/>
        <v>0</v>
      </c>
      <c r="EA193" s="3">
        <f t="shared" si="186"/>
        <v>0</v>
      </c>
      <c r="EB193" s="3">
        <f t="shared" si="186"/>
        <v>0</v>
      </c>
      <c r="EC193" s="3">
        <f t="shared" si="186"/>
        <v>0</v>
      </c>
      <c r="ED193" s="3">
        <f t="shared" si="186"/>
        <v>0</v>
      </c>
      <c r="EE193" s="3">
        <f t="shared" si="186"/>
        <v>0</v>
      </c>
      <c r="EF193" s="3">
        <f t="shared" si="186"/>
        <v>0</v>
      </c>
      <c r="EG193" s="3">
        <f t="shared" si="186"/>
        <v>0</v>
      </c>
      <c r="EH193" s="3">
        <f t="shared" si="186"/>
        <v>0</v>
      </c>
      <c r="EI193" s="3">
        <f t="shared" si="186"/>
        <v>0</v>
      </c>
      <c r="EJ193" s="3">
        <f t="shared" si="186"/>
        <v>0</v>
      </c>
      <c r="EK193" s="3">
        <f t="shared" si="186"/>
        <v>0</v>
      </c>
      <c r="EL193" s="3">
        <f t="shared" si="186"/>
        <v>0</v>
      </c>
      <c r="EM193" s="3">
        <f t="shared" ref="EM193:FR193" si="187">EM199</f>
        <v>0</v>
      </c>
      <c r="EN193" s="3">
        <f t="shared" si="187"/>
        <v>0</v>
      </c>
      <c r="EO193" s="3">
        <f t="shared" si="187"/>
        <v>0</v>
      </c>
      <c r="EP193" s="3">
        <f t="shared" si="187"/>
        <v>0</v>
      </c>
      <c r="EQ193" s="3">
        <f t="shared" si="187"/>
        <v>0</v>
      </c>
      <c r="ER193" s="3">
        <f t="shared" si="187"/>
        <v>0</v>
      </c>
      <c r="ES193" s="3">
        <f t="shared" si="187"/>
        <v>0</v>
      </c>
      <c r="ET193" s="3">
        <f t="shared" si="187"/>
        <v>0</v>
      </c>
      <c r="EU193" s="3">
        <f t="shared" si="187"/>
        <v>0</v>
      </c>
      <c r="EV193" s="3">
        <f t="shared" si="187"/>
        <v>0</v>
      </c>
      <c r="EW193" s="3">
        <f t="shared" si="187"/>
        <v>0</v>
      </c>
      <c r="EX193" s="3">
        <f t="shared" si="187"/>
        <v>0</v>
      </c>
      <c r="EY193" s="3">
        <f t="shared" si="187"/>
        <v>0</v>
      </c>
      <c r="EZ193" s="3">
        <f t="shared" si="187"/>
        <v>0</v>
      </c>
      <c r="FA193" s="3">
        <f t="shared" si="187"/>
        <v>0</v>
      </c>
      <c r="FB193" s="3">
        <f t="shared" si="187"/>
        <v>0</v>
      </c>
      <c r="FC193" s="3">
        <f t="shared" si="187"/>
        <v>0</v>
      </c>
      <c r="FD193" s="3">
        <f t="shared" si="187"/>
        <v>0</v>
      </c>
      <c r="FE193" s="3">
        <f t="shared" si="187"/>
        <v>0</v>
      </c>
      <c r="FF193" s="3">
        <f t="shared" si="187"/>
        <v>0</v>
      </c>
      <c r="FG193" s="3">
        <f t="shared" si="187"/>
        <v>0</v>
      </c>
      <c r="FH193" s="3">
        <f t="shared" si="187"/>
        <v>0</v>
      </c>
      <c r="FI193" s="3">
        <f t="shared" si="187"/>
        <v>0</v>
      </c>
      <c r="FJ193" s="3">
        <f t="shared" si="187"/>
        <v>0</v>
      </c>
      <c r="FK193" s="3">
        <f t="shared" si="187"/>
        <v>0</v>
      </c>
      <c r="FL193" s="3">
        <f t="shared" si="187"/>
        <v>0</v>
      </c>
      <c r="FM193" s="3">
        <f t="shared" si="187"/>
        <v>0</v>
      </c>
      <c r="FN193" s="3">
        <f t="shared" si="187"/>
        <v>0</v>
      </c>
      <c r="FO193" s="3">
        <f t="shared" si="187"/>
        <v>0</v>
      </c>
      <c r="FP193" s="3">
        <f t="shared" si="187"/>
        <v>0</v>
      </c>
      <c r="FQ193" s="3">
        <f t="shared" si="187"/>
        <v>0</v>
      </c>
      <c r="FR193" s="3">
        <f t="shared" si="187"/>
        <v>0</v>
      </c>
      <c r="FS193" s="3">
        <f t="shared" ref="FS193:GX193" si="188">FS199</f>
        <v>0</v>
      </c>
      <c r="FT193" s="3">
        <f t="shared" si="188"/>
        <v>0</v>
      </c>
      <c r="FU193" s="3">
        <f t="shared" si="188"/>
        <v>0</v>
      </c>
      <c r="FV193" s="3">
        <f t="shared" si="188"/>
        <v>0</v>
      </c>
      <c r="FW193" s="3">
        <f t="shared" si="188"/>
        <v>0</v>
      </c>
      <c r="FX193" s="3">
        <f t="shared" si="188"/>
        <v>0</v>
      </c>
      <c r="FY193" s="3">
        <f t="shared" si="188"/>
        <v>0</v>
      </c>
      <c r="FZ193" s="3">
        <f t="shared" si="188"/>
        <v>0</v>
      </c>
      <c r="GA193" s="3">
        <f t="shared" si="188"/>
        <v>0</v>
      </c>
      <c r="GB193" s="3">
        <f t="shared" si="188"/>
        <v>0</v>
      </c>
      <c r="GC193" s="3">
        <f t="shared" si="188"/>
        <v>0</v>
      </c>
      <c r="GD193" s="3">
        <f t="shared" si="188"/>
        <v>0</v>
      </c>
      <c r="GE193" s="3">
        <f t="shared" si="188"/>
        <v>0</v>
      </c>
      <c r="GF193" s="3">
        <f t="shared" si="188"/>
        <v>0</v>
      </c>
      <c r="GG193" s="3">
        <f t="shared" si="188"/>
        <v>0</v>
      </c>
      <c r="GH193" s="3">
        <f t="shared" si="188"/>
        <v>0</v>
      </c>
      <c r="GI193" s="3">
        <f t="shared" si="188"/>
        <v>0</v>
      </c>
      <c r="GJ193" s="3">
        <f t="shared" si="188"/>
        <v>0</v>
      </c>
      <c r="GK193" s="3">
        <f t="shared" si="188"/>
        <v>0</v>
      </c>
      <c r="GL193" s="3">
        <f t="shared" si="188"/>
        <v>0</v>
      </c>
      <c r="GM193" s="3">
        <f t="shared" si="188"/>
        <v>0</v>
      </c>
      <c r="GN193" s="3">
        <f t="shared" si="188"/>
        <v>0</v>
      </c>
      <c r="GO193" s="3">
        <f t="shared" si="188"/>
        <v>0</v>
      </c>
      <c r="GP193" s="3">
        <f t="shared" si="188"/>
        <v>0</v>
      </c>
      <c r="GQ193" s="3">
        <f t="shared" si="188"/>
        <v>0</v>
      </c>
      <c r="GR193" s="3">
        <f t="shared" si="188"/>
        <v>0</v>
      </c>
      <c r="GS193" s="3">
        <f t="shared" si="188"/>
        <v>0</v>
      </c>
      <c r="GT193" s="3">
        <f t="shared" si="188"/>
        <v>0</v>
      </c>
      <c r="GU193" s="3">
        <f t="shared" si="188"/>
        <v>0</v>
      </c>
      <c r="GV193" s="3">
        <f t="shared" si="188"/>
        <v>0</v>
      </c>
      <c r="GW193" s="3">
        <f t="shared" si="188"/>
        <v>0</v>
      </c>
      <c r="GX193" s="3">
        <f t="shared" si="188"/>
        <v>0</v>
      </c>
    </row>
    <row r="195" spans="1:245" x14ac:dyDescent="0.2">
      <c r="A195">
        <v>17</v>
      </c>
      <c r="B195">
        <v>1</v>
      </c>
      <c r="C195">
        <f>ROW(SmtRes!A387)</f>
        <v>387</v>
      </c>
      <c r="D195">
        <f>ROW(EtalonRes!A358)</f>
        <v>358</v>
      </c>
      <c r="E195" t="s">
        <v>485</v>
      </c>
      <c r="F195" t="s">
        <v>486</v>
      </c>
      <c r="G195" t="s">
        <v>487</v>
      </c>
      <c r="H195" t="s">
        <v>403</v>
      </c>
      <c r="I195">
        <v>20</v>
      </c>
      <c r="J195">
        <v>0</v>
      </c>
      <c r="O195">
        <f>ROUND(CP195,2)</f>
        <v>939.39</v>
      </c>
      <c r="P195">
        <f>ROUND(CQ195*I195,2)</f>
        <v>0</v>
      </c>
      <c r="Q195">
        <f>ROUND(CR195*I195,2)</f>
        <v>0</v>
      </c>
      <c r="R195">
        <f>ROUND(CS195*I195,2)</f>
        <v>0</v>
      </c>
      <c r="S195">
        <f>ROUND(CT195*I195,2)</f>
        <v>939.39</v>
      </c>
      <c r="T195">
        <f>ROUND(CU195*I195,2)</f>
        <v>0</v>
      </c>
      <c r="U195">
        <f>CV195*I195</f>
        <v>5.12</v>
      </c>
      <c r="V195">
        <f>CW195*I195</f>
        <v>0</v>
      </c>
      <c r="W195">
        <f>ROUND(CX195*I195,2)</f>
        <v>0</v>
      </c>
      <c r="X195">
        <f t="shared" ref="X195:Y197" si="189">ROUND(CY195,2)</f>
        <v>610.6</v>
      </c>
      <c r="Y195">
        <f t="shared" si="189"/>
        <v>375.76</v>
      </c>
      <c r="AA195">
        <v>39476960</v>
      </c>
      <c r="AB195">
        <f>ROUND((AC195+AD195+AF195),2)</f>
        <v>3.28</v>
      </c>
      <c r="AC195">
        <f>ROUND((ES195),2)</f>
        <v>0</v>
      </c>
      <c r="AD195">
        <f>ROUND((((ET195)-(EU195))+AE195),2)</f>
        <v>0</v>
      </c>
      <c r="AE195">
        <f>ROUND((EU195),2)</f>
        <v>0</v>
      </c>
      <c r="AF195">
        <f>ROUND(((EV195*0.8)),2)</f>
        <v>3.28</v>
      </c>
      <c r="AG195">
        <f>ROUND((AP195),2)</f>
        <v>0</v>
      </c>
      <c r="AH195">
        <f>((EW195*0.8))</f>
        <v>0.25600000000000001</v>
      </c>
      <c r="AI195">
        <f>(EX195)</f>
        <v>0</v>
      </c>
      <c r="AJ195">
        <f>ROUND((AS195),2)</f>
        <v>0</v>
      </c>
      <c r="AK195">
        <v>4.0999999999999996</v>
      </c>
      <c r="AL195">
        <v>0</v>
      </c>
      <c r="AM195">
        <v>0</v>
      </c>
      <c r="AN195">
        <v>0</v>
      </c>
      <c r="AO195">
        <v>4.0999999999999996</v>
      </c>
      <c r="AP195">
        <v>0</v>
      </c>
      <c r="AQ195">
        <v>0.32</v>
      </c>
      <c r="AR195">
        <v>0</v>
      </c>
      <c r="AS195">
        <v>0</v>
      </c>
      <c r="AT195">
        <v>65</v>
      </c>
      <c r="AU195">
        <v>40</v>
      </c>
      <c r="AV195">
        <v>1</v>
      </c>
      <c r="AW195">
        <v>1</v>
      </c>
      <c r="AZ195">
        <v>14.32</v>
      </c>
      <c r="BA195">
        <v>14.32</v>
      </c>
      <c r="BB195">
        <v>1</v>
      </c>
      <c r="BC195">
        <v>1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4</v>
      </c>
      <c r="BJ195" t="s">
        <v>488</v>
      </c>
      <c r="BM195">
        <v>200001</v>
      </c>
      <c r="BN195">
        <v>0</v>
      </c>
      <c r="BO195" t="s">
        <v>3</v>
      </c>
      <c r="BP195">
        <v>0</v>
      </c>
      <c r="BQ195">
        <v>4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65</v>
      </c>
      <c r="CA195">
        <v>40</v>
      </c>
      <c r="CF195">
        <v>0</v>
      </c>
      <c r="CG195">
        <v>0</v>
      </c>
      <c r="CM195">
        <v>0</v>
      </c>
      <c r="CN195" t="s">
        <v>489</v>
      </c>
      <c r="CO195">
        <v>0</v>
      </c>
      <c r="CP195">
        <f>(P195+Q195+S195)</f>
        <v>939.39</v>
      </c>
      <c r="CQ195">
        <f>AC195*BC195</f>
        <v>0</v>
      </c>
      <c r="CR195">
        <f>AD195*BB195</f>
        <v>0</v>
      </c>
      <c r="CS195">
        <f>AE195*BS195</f>
        <v>0</v>
      </c>
      <c r="CT195">
        <f>AF195*BA195</f>
        <v>46.9696</v>
      </c>
      <c r="CU195">
        <f t="shared" ref="CU195:CX197" si="190">AG195</f>
        <v>0</v>
      </c>
      <c r="CV195">
        <f t="shared" si="190"/>
        <v>0.25600000000000001</v>
      </c>
      <c r="CW195">
        <f t="shared" si="190"/>
        <v>0</v>
      </c>
      <c r="CX195">
        <f t="shared" si="190"/>
        <v>0</v>
      </c>
      <c r="CY195">
        <f>(((S195+R195)*AT195)/100)</f>
        <v>610.60349999999994</v>
      </c>
      <c r="CZ195">
        <f>(((S195+R195)*AU195)/100)</f>
        <v>375.75599999999997</v>
      </c>
      <c r="DC195" t="s">
        <v>3</v>
      </c>
      <c r="DD195" t="s">
        <v>3</v>
      </c>
      <c r="DE195" t="s">
        <v>3</v>
      </c>
      <c r="DF195" t="s">
        <v>3</v>
      </c>
      <c r="DG195" t="s">
        <v>490</v>
      </c>
      <c r="DH195" t="s">
        <v>3</v>
      </c>
      <c r="DI195" t="s">
        <v>490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403</v>
      </c>
      <c r="DW195" t="s">
        <v>403</v>
      </c>
      <c r="DX195">
        <v>1</v>
      </c>
      <c r="EE195">
        <v>39174428</v>
      </c>
      <c r="EF195">
        <v>4</v>
      </c>
      <c r="EG195" t="s">
        <v>491</v>
      </c>
      <c r="EH195">
        <v>0</v>
      </c>
      <c r="EI195" t="s">
        <v>3</v>
      </c>
      <c r="EJ195">
        <v>4</v>
      </c>
      <c r="EK195">
        <v>200001</v>
      </c>
      <c r="EL195" t="s">
        <v>492</v>
      </c>
      <c r="EM195" t="s">
        <v>493</v>
      </c>
      <c r="EO195" t="s">
        <v>494</v>
      </c>
      <c r="EQ195">
        <v>0</v>
      </c>
      <c r="ER195">
        <v>4.0999999999999996</v>
      </c>
      <c r="ES195">
        <v>0</v>
      </c>
      <c r="ET195">
        <v>0</v>
      </c>
      <c r="EU195">
        <v>0</v>
      </c>
      <c r="EV195">
        <v>4.0999999999999996</v>
      </c>
      <c r="EW195">
        <v>0.32</v>
      </c>
      <c r="EX195">
        <v>0</v>
      </c>
      <c r="EY195">
        <v>0</v>
      </c>
      <c r="FQ195">
        <v>0</v>
      </c>
      <c r="FR195">
        <f>ROUND(IF(AND(BH195=3,BI195=3),P195,0),2)</f>
        <v>0</v>
      </c>
      <c r="FS195">
        <v>0</v>
      </c>
      <c r="FX195">
        <v>65</v>
      </c>
      <c r="FY195">
        <v>40</v>
      </c>
      <c r="GA195" t="s">
        <v>3</v>
      </c>
      <c r="GD195">
        <v>0</v>
      </c>
      <c r="GF195">
        <v>-1617765494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>ROUND(IF(AND(BH195=3,BI195=3,FS195&lt;&gt;0),P195,0),2)</f>
        <v>0</v>
      </c>
      <c r="GM195">
        <f>ROUND(O195+X195+Y195+GK195,2)+GX195</f>
        <v>1925.75</v>
      </c>
      <c r="GN195">
        <f>IF(OR(BI195=0,BI195=1),ROUND(O195+X195+Y195+GK195,2),0)</f>
        <v>0</v>
      </c>
      <c r="GO195">
        <f>IF(BI195=2,ROUND(O195+X195+Y195+GK195,2),0)</f>
        <v>0</v>
      </c>
      <c r="GP195">
        <f>IF(BI195=4,ROUND(O195+X195+Y195+GK195,2)+GX195,0)</f>
        <v>1925.75</v>
      </c>
      <c r="GR195">
        <v>0</v>
      </c>
      <c r="GS195">
        <v>3</v>
      </c>
      <c r="GT195">
        <v>0</v>
      </c>
      <c r="GU195" t="s">
        <v>3</v>
      </c>
      <c r="GV195">
        <f>ROUND(GT195,2)</f>
        <v>0</v>
      </c>
      <c r="GW195">
        <v>1</v>
      </c>
      <c r="GX195">
        <f>ROUND(GV195*GW195*I195,2)</f>
        <v>0</v>
      </c>
      <c r="HA195">
        <v>0</v>
      </c>
      <c r="HB195">
        <v>0</v>
      </c>
      <c r="IK195">
        <v>0</v>
      </c>
    </row>
    <row r="196" spans="1:245" x14ac:dyDescent="0.2">
      <c r="A196">
        <v>17</v>
      </c>
      <c r="B196">
        <v>1</v>
      </c>
      <c r="C196">
        <f>ROW(SmtRes!A389)</f>
        <v>389</v>
      </c>
      <c r="D196">
        <f>ROW(EtalonRes!A360)</f>
        <v>360</v>
      </c>
      <c r="E196" t="s">
        <v>495</v>
      </c>
      <c r="F196" t="s">
        <v>496</v>
      </c>
      <c r="G196" t="s">
        <v>497</v>
      </c>
      <c r="H196" t="s">
        <v>498</v>
      </c>
      <c r="I196">
        <f>ROUND(12/100,9)</f>
        <v>0.12</v>
      </c>
      <c r="J196">
        <v>0</v>
      </c>
      <c r="O196">
        <f>ROUND(CP196,2)</f>
        <v>228.13</v>
      </c>
      <c r="P196">
        <f>ROUND(CQ196*I196,2)</f>
        <v>0</v>
      </c>
      <c r="Q196">
        <f>ROUND(CR196*I196,2)</f>
        <v>0</v>
      </c>
      <c r="R196">
        <f>ROUND(CS196*I196,2)</f>
        <v>0</v>
      </c>
      <c r="S196">
        <f>ROUND(CT196*I196,2)</f>
        <v>228.13</v>
      </c>
      <c r="T196">
        <f>ROUND(CU196*I196,2)</f>
        <v>0</v>
      </c>
      <c r="U196">
        <f>CV196*I196</f>
        <v>1.2441600000000002</v>
      </c>
      <c r="V196">
        <f>CW196*I196</f>
        <v>0</v>
      </c>
      <c r="W196">
        <f>ROUND(CX196*I196,2)</f>
        <v>0</v>
      </c>
      <c r="X196">
        <f t="shared" si="189"/>
        <v>148.28</v>
      </c>
      <c r="Y196">
        <f t="shared" si="189"/>
        <v>91.25</v>
      </c>
      <c r="AA196">
        <v>39476960</v>
      </c>
      <c r="AB196">
        <f>ROUND((AC196+AD196+AF196),2)</f>
        <v>132.76</v>
      </c>
      <c r="AC196">
        <f>ROUND((ES196),2)</f>
        <v>0</v>
      </c>
      <c r="AD196">
        <f>ROUND((((ET196)-(EU196))+AE196),2)</f>
        <v>0</v>
      </c>
      <c r="AE196">
        <f>ROUND((EU196),2)</f>
        <v>0</v>
      </c>
      <c r="AF196">
        <f>ROUND(((EV196*0.8)),2)</f>
        <v>132.76</v>
      </c>
      <c r="AG196">
        <f>ROUND((AP196),2)</f>
        <v>0</v>
      </c>
      <c r="AH196">
        <f>((EW196*0.8))</f>
        <v>10.368000000000002</v>
      </c>
      <c r="AI196">
        <f>(EX196)</f>
        <v>0</v>
      </c>
      <c r="AJ196">
        <f>ROUND((AS196),2)</f>
        <v>0</v>
      </c>
      <c r="AK196">
        <v>165.95</v>
      </c>
      <c r="AL196">
        <v>0</v>
      </c>
      <c r="AM196">
        <v>0</v>
      </c>
      <c r="AN196">
        <v>0</v>
      </c>
      <c r="AO196">
        <v>165.95</v>
      </c>
      <c r="AP196">
        <v>0</v>
      </c>
      <c r="AQ196">
        <v>12.96</v>
      </c>
      <c r="AR196">
        <v>0</v>
      </c>
      <c r="AS196">
        <v>0</v>
      </c>
      <c r="AT196">
        <v>65</v>
      </c>
      <c r="AU196">
        <v>40</v>
      </c>
      <c r="AV196">
        <v>1</v>
      </c>
      <c r="AW196">
        <v>1</v>
      </c>
      <c r="AZ196">
        <v>14.32</v>
      </c>
      <c r="BA196">
        <v>14.32</v>
      </c>
      <c r="BB196">
        <v>1</v>
      </c>
      <c r="BC196">
        <v>1</v>
      </c>
      <c r="BD196" t="s">
        <v>3</v>
      </c>
      <c r="BE196" t="s">
        <v>3</v>
      </c>
      <c r="BF196" t="s">
        <v>3</v>
      </c>
      <c r="BG196" t="s">
        <v>3</v>
      </c>
      <c r="BH196">
        <v>0</v>
      </c>
      <c r="BI196">
        <v>4</v>
      </c>
      <c r="BJ196" t="s">
        <v>499</v>
      </c>
      <c r="BM196">
        <v>200001</v>
      </c>
      <c r="BN196">
        <v>0</v>
      </c>
      <c r="BO196" t="s">
        <v>3</v>
      </c>
      <c r="BP196">
        <v>0</v>
      </c>
      <c r="BQ196">
        <v>4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65</v>
      </c>
      <c r="CA196">
        <v>40</v>
      </c>
      <c r="CF196">
        <v>0</v>
      </c>
      <c r="CG196">
        <v>0</v>
      </c>
      <c r="CM196">
        <v>0</v>
      </c>
      <c r="CN196" t="s">
        <v>489</v>
      </c>
      <c r="CO196">
        <v>0</v>
      </c>
      <c r="CP196">
        <f>(P196+Q196+S196)</f>
        <v>228.13</v>
      </c>
      <c r="CQ196">
        <f>AC196*BC196</f>
        <v>0</v>
      </c>
      <c r="CR196">
        <f>AD196*BB196</f>
        <v>0</v>
      </c>
      <c r="CS196">
        <f>AE196*BS196</f>
        <v>0</v>
      </c>
      <c r="CT196">
        <f>AF196*BA196</f>
        <v>1901.1232</v>
      </c>
      <c r="CU196">
        <f t="shared" si="190"/>
        <v>0</v>
      </c>
      <c r="CV196">
        <f t="shared" si="190"/>
        <v>10.368000000000002</v>
      </c>
      <c r="CW196">
        <f t="shared" si="190"/>
        <v>0</v>
      </c>
      <c r="CX196">
        <f t="shared" si="190"/>
        <v>0</v>
      </c>
      <c r="CY196">
        <f>(((S196+R196)*AT196)/100)</f>
        <v>148.28449999999998</v>
      </c>
      <c r="CZ196">
        <f>(((S196+R196)*AU196)/100)</f>
        <v>91.25200000000001</v>
      </c>
      <c r="DC196" t="s">
        <v>3</v>
      </c>
      <c r="DD196" t="s">
        <v>3</v>
      </c>
      <c r="DE196" t="s">
        <v>3</v>
      </c>
      <c r="DF196" t="s">
        <v>3</v>
      </c>
      <c r="DG196" t="s">
        <v>490</v>
      </c>
      <c r="DH196" t="s">
        <v>3</v>
      </c>
      <c r="DI196" t="s">
        <v>490</v>
      </c>
      <c r="DJ196" t="s">
        <v>3</v>
      </c>
      <c r="DK196" t="s">
        <v>3</v>
      </c>
      <c r="DL196" t="s">
        <v>3</v>
      </c>
      <c r="DM196" t="s">
        <v>3</v>
      </c>
      <c r="DN196">
        <v>0</v>
      </c>
      <c r="DO196">
        <v>0</v>
      </c>
      <c r="DP196">
        <v>1</v>
      </c>
      <c r="DQ196">
        <v>1</v>
      </c>
      <c r="DU196">
        <v>1013</v>
      </c>
      <c r="DV196" t="s">
        <v>498</v>
      </c>
      <c r="DW196" t="s">
        <v>498</v>
      </c>
      <c r="DX196">
        <v>1</v>
      </c>
      <c r="EE196">
        <v>39174428</v>
      </c>
      <c r="EF196">
        <v>4</v>
      </c>
      <c r="EG196" t="s">
        <v>491</v>
      </c>
      <c r="EH196">
        <v>0</v>
      </c>
      <c r="EI196" t="s">
        <v>3</v>
      </c>
      <c r="EJ196">
        <v>4</v>
      </c>
      <c r="EK196">
        <v>200001</v>
      </c>
      <c r="EL196" t="s">
        <v>492</v>
      </c>
      <c r="EM196" t="s">
        <v>493</v>
      </c>
      <c r="EO196" t="s">
        <v>494</v>
      </c>
      <c r="EQ196">
        <v>0</v>
      </c>
      <c r="ER196">
        <v>165.95</v>
      </c>
      <c r="ES196">
        <v>0</v>
      </c>
      <c r="ET196">
        <v>0</v>
      </c>
      <c r="EU196">
        <v>0</v>
      </c>
      <c r="EV196">
        <v>165.95</v>
      </c>
      <c r="EW196">
        <v>12.96</v>
      </c>
      <c r="EX196">
        <v>0</v>
      </c>
      <c r="EY196">
        <v>0</v>
      </c>
      <c r="FQ196">
        <v>0</v>
      </c>
      <c r="FR196">
        <f>ROUND(IF(AND(BH196=3,BI196=3),P196,0),2)</f>
        <v>0</v>
      </c>
      <c r="FS196">
        <v>0</v>
      </c>
      <c r="FX196">
        <v>65</v>
      </c>
      <c r="FY196">
        <v>40</v>
      </c>
      <c r="GA196" t="s">
        <v>3</v>
      </c>
      <c r="GD196">
        <v>0</v>
      </c>
      <c r="GF196">
        <v>-931447527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>ROUND(IF(AND(BH196=3,BI196=3,FS196&lt;&gt;0),P196,0),2)</f>
        <v>0</v>
      </c>
      <c r="GM196">
        <f>ROUND(O196+X196+Y196+GK196,2)+GX196</f>
        <v>467.66</v>
      </c>
      <c r="GN196">
        <f>IF(OR(BI196=0,BI196=1),ROUND(O196+X196+Y196+GK196,2),0)</f>
        <v>0</v>
      </c>
      <c r="GO196">
        <f>IF(BI196=2,ROUND(O196+X196+Y196+GK196,2),0)</f>
        <v>0</v>
      </c>
      <c r="GP196">
        <f>IF(BI196=4,ROUND(O196+X196+Y196+GK196,2)+GX196,0)</f>
        <v>467.66</v>
      </c>
      <c r="GR196">
        <v>0</v>
      </c>
      <c r="GS196">
        <v>3</v>
      </c>
      <c r="GT196">
        <v>0</v>
      </c>
      <c r="GU196" t="s">
        <v>3</v>
      </c>
      <c r="GV196">
        <f>ROUND(GT196,2)</f>
        <v>0</v>
      </c>
      <c r="GW196">
        <v>1</v>
      </c>
      <c r="GX196">
        <f>ROUND(GV196*GW196*I196,2)</f>
        <v>0</v>
      </c>
      <c r="HA196">
        <v>0</v>
      </c>
      <c r="HB196">
        <v>0</v>
      </c>
      <c r="IK196">
        <v>0</v>
      </c>
    </row>
    <row r="197" spans="1:245" x14ac:dyDescent="0.2">
      <c r="A197">
        <v>17</v>
      </c>
      <c r="B197">
        <v>1</v>
      </c>
      <c r="C197">
        <f>ROW(SmtRes!A391)</f>
        <v>391</v>
      </c>
      <c r="D197">
        <f>ROW(EtalonRes!A362)</f>
        <v>362</v>
      </c>
      <c r="E197" t="s">
        <v>500</v>
      </c>
      <c r="F197" t="s">
        <v>501</v>
      </c>
      <c r="G197" t="s">
        <v>502</v>
      </c>
      <c r="H197" t="s">
        <v>403</v>
      </c>
      <c r="I197">
        <v>4</v>
      </c>
      <c r="J197">
        <v>0</v>
      </c>
      <c r="O197">
        <f>ROUND(CP197,2)</f>
        <v>716</v>
      </c>
      <c r="P197">
        <f>ROUND(CQ197*I197,2)</f>
        <v>0</v>
      </c>
      <c r="Q197">
        <f>ROUND(CR197*I197,2)</f>
        <v>0</v>
      </c>
      <c r="R197">
        <f>ROUND(CS197*I197,2)</f>
        <v>0</v>
      </c>
      <c r="S197">
        <f>ROUND(CT197*I197,2)</f>
        <v>716</v>
      </c>
      <c r="T197">
        <f>ROUND(CU197*I197,2)</f>
        <v>0</v>
      </c>
      <c r="U197">
        <f>CV197*I197</f>
        <v>3.9039999999999999</v>
      </c>
      <c r="V197">
        <f>CW197*I197</f>
        <v>0</v>
      </c>
      <c r="W197">
        <f>ROUND(CX197*I197,2)</f>
        <v>0</v>
      </c>
      <c r="X197">
        <f t="shared" si="189"/>
        <v>465.4</v>
      </c>
      <c r="Y197">
        <f t="shared" si="189"/>
        <v>286.39999999999998</v>
      </c>
      <c r="AA197">
        <v>39476960</v>
      </c>
      <c r="AB197">
        <f>ROUND((AC197+AD197+AF197),2)</f>
        <v>12.5</v>
      </c>
      <c r="AC197">
        <f>ROUND((ES197),2)</f>
        <v>0</v>
      </c>
      <c r="AD197">
        <f>ROUND((((ET197)-(EU197))+AE197),2)</f>
        <v>0</v>
      </c>
      <c r="AE197">
        <f>ROUND((EU197),2)</f>
        <v>0</v>
      </c>
      <c r="AF197">
        <f>ROUND(((EV197*0.8)),2)</f>
        <v>12.5</v>
      </c>
      <c r="AG197">
        <f>ROUND((AP197),2)</f>
        <v>0</v>
      </c>
      <c r="AH197">
        <f>((EW197*0.8))</f>
        <v>0.97599999999999998</v>
      </c>
      <c r="AI197">
        <f>(EX197)</f>
        <v>0</v>
      </c>
      <c r="AJ197">
        <f>ROUND((AS197),2)</f>
        <v>0</v>
      </c>
      <c r="AK197">
        <v>15.62</v>
      </c>
      <c r="AL197">
        <v>0</v>
      </c>
      <c r="AM197">
        <v>0</v>
      </c>
      <c r="AN197">
        <v>0</v>
      </c>
      <c r="AO197">
        <v>15.62</v>
      </c>
      <c r="AP197">
        <v>0</v>
      </c>
      <c r="AQ197">
        <v>1.22</v>
      </c>
      <c r="AR197">
        <v>0</v>
      </c>
      <c r="AS197">
        <v>0</v>
      </c>
      <c r="AT197">
        <v>65</v>
      </c>
      <c r="AU197">
        <v>40</v>
      </c>
      <c r="AV197">
        <v>1</v>
      </c>
      <c r="AW197">
        <v>1</v>
      </c>
      <c r="AZ197">
        <v>14.32</v>
      </c>
      <c r="BA197">
        <v>14.32</v>
      </c>
      <c r="BB197">
        <v>1</v>
      </c>
      <c r="BC197">
        <v>1</v>
      </c>
      <c r="BD197" t="s">
        <v>3</v>
      </c>
      <c r="BE197" t="s">
        <v>3</v>
      </c>
      <c r="BF197" t="s">
        <v>3</v>
      </c>
      <c r="BG197" t="s">
        <v>3</v>
      </c>
      <c r="BH197">
        <v>0</v>
      </c>
      <c r="BI197">
        <v>4</v>
      </c>
      <c r="BJ197" t="s">
        <v>503</v>
      </c>
      <c r="BM197">
        <v>200001</v>
      </c>
      <c r="BN197">
        <v>0</v>
      </c>
      <c r="BO197" t="s">
        <v>3</v>
      </c>
      <c r="BP197">
        <v>0</v>
      </c>
      <c r="BQ197">
        <v>4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65</v>
      </c>
      <c r="CA197">
        <v>40</v>
      </c>
      <c r="CF197">
        <v>0</v>
      </c>
      <c r="CG197">
        <v>0</v>
      </c>
      <c r="CM197">
        <v>0</v>
      </c>
      <c r="CN197" t="s">
        <v>489</v>
      </c>
      <c r="CO197">
        <v>0</v>
      </c>
      <c r="CP197">
        <f>(P197+Q197+S197)</f>
        <v>716</v>
      </c>
      <c r="CQ197">
        <f>AC197*BC197</f>
        <v>0</v>
      </c>
      <c r="CR197">
        <f>AD197*BB197</f>
        <v>0</v>
      </c>
      <c r="CS197">
        <f>AE197*BS197</f>
        <v>0</v>
      </c>
      <c r="CT197">
        <f>AF197*BA197</f>
        <v>179</v>
      </c>
      <c r="CU197">
        <f t="shared" si="190"/>
        <v>0</v>
      </c>
      <c r="CV197">
        <f t="shared" si="190"/>
        <v>0.97599999999999998</v>
      </c>
      <c r="CW197">
        <f t="shared" si="190"/>
        <v>0</v>
      </c>
      <c r="CX197">
        <f t="shared" si="190"/>
        <v>0</v>
      </c>
      <c r="CY197">
        <f>(((S197+R197)*AT197)/100)</f>
        <v>465.4</v>
      </c>
      <c r="CZ197">
        <f>(((S197+R197)*AU197)/100)</f>
        <v>286.39999999999998</v>
      </c>
      <c r="DC197" t="s">
        <v>3</v>
      </c>
      <c r="DD197" t="s">
        <v>3</v>
      </c>
      <c r="DE197" t="s">
        <v>3</v>
      </c>
      <c r="DF197" t="s">
        <v>3</v>
      </c>
      <c r="DG197" t="s">
        <v>490</v>
      </c>
      <c r="DH197" t="s">
        <v>3</v>
      </c>
      <c r="DI197" t="s">
        <v>490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1013</v>
      </c>
      <c r="DV197" t="s">
        <v>403</v>
      </c>
      <c r="DW197" t="s">
        <v>403</v>
      </c>
      <c r="DX197">
        <v>1</v>
      </c>
      <c r="EE197">
        <v>39174428</v>
      </c>
      <c r="EF197">
        <v>4</v>
      </c>
      <c r="EG197" t="s">
        <v>491</v>
      </c>
      <c r="EH197">
        <v>0</v>
      </c>
      <c r="EI197" t="s">
        <v>3</v>
      </c>
      <c r="EJ197">
        <v>4</v>
      </c>
      <c r="EK197">
        <v>200001</v>
      </c>
      <c r="EL197" t="s">
        <v>492</v>
      </c>
      <c r="EM197" t="s">
        <v>493</v>
      </c>
      <c r="EO197" t="s">
        <v>494</v>
      </c>
      <c r="EQ197">
        <v>0</v>
      </c>
      <c r="ER197">
        <v>15.62</v>
      </c>
      <c r="ES197">
        <v>0</v>
      </c>
      <c r="ET197">
        <v>0</v>
      </c>
      <c r="EU197">
        <v>0</v>
      </c>
      <c r="EV197">
        <v>15.62</v>
      </c>
      <c r="EW197">
        <v>1.22</v>
      </c>
      <c r="EX197">
        <v>0</v>
      </c>
      <c r="EY197">
        <v>0</v>
      </c>
      <c r="FQ197">
        <v>0</v>
      </c>
      <c r="FR197">
        <f>ROUND(IF(AND(BH197=3,BI197=3),P197,0),2)</f>
        <v>0</v>
      </c>
      <c r="FS197">
        <v>0</v>
      </c>
      <c r="FX197">
        <v>65</v>
      </c>
      <c r="FY197">
        <v>40</v>
      </c>
      <c r="GA197" t="s">
        <v>3</v>
      </c>
      <c r="GD197">
        <v>0</v>
      </c>
      <c r="GF197">
        <v>-829332442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>ROUND(IF(AND(BH197=3,BI197=3,FS197&lt;&gt;0),P197,0),2)</f>
        <v>0</v>
      </c>
      <c r="GM197">
        <f>ROUND(O197+X197+Y197+GK197,2)+GX197</f>
        <v>1467.8</v>
      </c>
      <c r="GN197">
        <f>IF(OR(BI197=0,BI197=1),ROUND(O197+X197+Y197+GK197,2),0)</f>
        <v>0</v>
      </c>
      <c r="GO197">
        <f>IF(BI197=2,ROUND(O197+X197+Y197+GK197,2),0)</f>
        <v>0</v>
      </c>
      <c r="GP197">
        <f>IF(BI197=4,ROUND(O197+X197+Y197+GK197,2)+GX197,0)</f>
        <v>1467.8</v>
      </c>
      <c r="GR197">
        <v>0</v>
      </c>
      <c r="GS197">
        <v>3</v>
      </c>
      <c r="GT197">
        <v>0</v>
      </c>
      <c r="GU197" t="s">
        <v>3</v>
      </c>
      <c r="GV197">
        <f>ROUND(GT197,2)</f>
        <v>0</v>
      </c>
      <c r="GW197">
        <v>1</v>
      </c>
      <c r="GX197">
        <f>ROUND(GV197*GW197*I197,2)</f>
        <v>0</v>
      </c>
      <c r="HA197">
        <v>0</v>
      </c>
      <c r="HB197">
        <v>0</v>
      </c>
      <c r="IK197">
        <v>0</v>
      </c>
    </row>
    <row r="199" spans="1:245" x14ac:dyDescent="0.2">
      <c r="A199" s="2">
        <v>51</v>
      </c>
      <c r="B199" s="2">
        <f>B191</f>
        <v>1</v>
      </c>
      <c r="C199" s="2">
        <f>A191</f>
        <v>4</v>
      </c>
      <c r="D199" s="2">
        <f>ROW(A191)</f>
        <v>191</v>
      </c>
      <c r="E199" s="2"/>
      <c r="F199" s="2" t="str">
        <f>IF(F191&lt;&gt;"",F191,"")</f>
        <v>Новый раздел</v>
      </c>
      <c r="G199" s="2" t="str">
        <f>IF(G191&lt;&gt;"",G191,"")</f>
        <v>Пусконаладочные работы систем электроснабжения и электроосвещения</v>
      </c>
      <c r="H199" s="2">
        <v>0</v>
      </c>
      <c r="I199" s="2"/>
      <c r="J199" s="2"/>
      <c r="K199" s="2"/>
      <c r="L199" s="2"/>
      <c r="M199" s="2"/>
      <c r="N199" s="2"/>
      <c r="O199" s="2">
        <f t="shared" ref="O199:T199" si="191">ROUND(AB199,2)</f>
        <v>1883.52</v>
      </c>
      <c r="P199" s="2">
        <f t="shared" si="191"/>
        <v>0</v>
      </c>
      <c r="Q199" s="2">
        <f t="shared" si="191"/>
        <v>0</v>
      </c>
      <c r="R199" s="2">
        <f t="shared" si="191"/>
        <v>0</v>
      </c>
      <c r="S199" s="2">
        <f t="shared" si="191"/>
        <v>1883.52</v>
      </c>
      <c r="T199" s="2">
        <f t="shared" si="191"/>
        <v>0</v>
      </c>
      <c r="U199" s="2">
        <f>AH199</f>
        <v>10.26816</v>
      </c>
      <c r="V199" s="2">
        <f>AI199</f>
        <v>0</v>
      </c>
      <c r="W199" s="2">
        <f>ROUND(AJ199,2)</f>
        <v>0</v>
      </c>
      <c r="X199" s="2">
        <f>ROUND(AK199,2)</f>
        <v>1224.28</v>
      </c>
      <c r="Y199" s="2">
        <f>ROUND(AL199,2)</f>
        <v>753.41</v>
      </c>
      <c r="Z199" s="2"/>
      <c r="AA199" s="2"/>
      <c r="AB199" s="2">
        <f>ROUND(SUMIF(AA195:AA197,"=39476960",O195:O197),2)</f>
        <v>1883.52</v>
      </c>
      <c r="AC199" s="2">
        <f>ROUND(SUMIF(AA195:AA197,"=39476960",P195:P197),2)</f>
        <v>0</v>
      </c>
      <c r="AD199" s="2">
        <f>ROUND(SUMIF(AA195:AA197,"=39476960",Q195:Q197),2)</f>
        <v>0</v>
      </c>
      <c r="AE199" s="2">
        <f>ROUND(SUMIF(AA195:AA197,"=39476960",R195:R197),2)</f>
        <v>0</v>
      </c>
      <c r="AF199" s="2">
        <f>ROUND(SUMIF(AA195:AA197,"=39476960",S195:S197),2)</f>
        <v>1883.52</v>
      </c>
      <c r="AG199" s="2">
        <f>ROUND(SUMIF(AA195:AA197,"=39476960",T195:T197),2)</f>
        <v>0</v>
      </c>
      <c r="AH199" s="2">
        <f>SUMIF(AA195:AA197,"=39476960",U195:U197)</f>
        <v>10.26816</v>
      </c>
      <c r="AI199" s="2">
        <f>SUMIF(AA195:AA197,"=39476960",V195:V197)</f>
        <v>0</v>
      </c>
      <c r="AJ199" s="2">
        <f>ROUND(SUMIF(AA195:AA197,"=39476960",W195:W197),2)</f>
        <v>0</v>
      </c>
      <c r="AK199" s="2">
        <f>ROUND(SUMIF(AA195:AA197,"=39476960",X195:X197),2)</f>
        <v>1224.28</v>
      </c>
      <c r="AL199" s="2">
        <f>ROUND(SUMIF(AA195:AA197,"=39476960",Y195:Y197),2)</f>
        <v>753.41</v>
      </c>
      <c r="AM199" s="2"/>
      <c r="AN199" s="2"/>
      <c r="AO199" s="2">
        <f t="shared" ref="AO199:BC199" si="192">ROUND(BX199,2)</f>
        <v>0</v>
      </c>
      <c r="AP199" s="2">
        <f t="shared" si="192"/>
        <v>0</v>
      </c>
      <c r="AQ199" s="2">
        <f t="shared" si="192"/>
        <v>0</v>
      </c>
      <c r="AR199" s="2">
        <f t="shared" si="192"/>
        <v>3861.21</v>
      </c>
      <c r="AS199" s="2">
        <f t="shared" si="192"/>
        <v>0</v>
      </c>
      <c r="AT199" s="2">
        <f t="shared" si="192"/>
        <v>0</v>
      </c>
      <c r="AU199" s="2">
        <f t="shared" si="192"/>
        <v>3861.21</v>
      </c>
      <c r="AV199" s="2">
        <f t="shared" si="192"/>
        <v>0</v>
      </c>
      <c r="AW199" s="2">
        <f t="shared" si="192"/>
        <v>0</v>
      </c>
      <c r="AX199" s="2">
        <f t="shared" si="192"/>
        <v>0</v>
      </c>
      <c r="AY199" s="2">
        <f t="shared" si="192"/>
        <v>0</v>
      </c>
      <c r="AZ199" s="2">
        <f t="shared" si="192"/>
        <v>0</v>
      </c>
      <c r="BA199" s="2">
        <f t="shared" si="192"/>
        <v>0</v>
      </c>
      <c r="BB199" s="2">
        <f t="shared" si="192"/>
        <v>0</v>
      </c>
      <c r="BC199" s="2">
        <f t="shared" si="192"/>
        <v>0</v>
      </c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>
        <f>ROUND(SUMIF(AA195:AA197,"=39476960",FQ195:FQ197),2)</f>
        <v>0</v>
      </c>
      <c r="BY199" s="2">
        <f>ROUND(SUMIF(AA195:AA197,"=39476960",FR195:FR197),2)</f>
        <v>0</v>
      </c>
      <c r="BZ199" s="2">
        <f>ROUND(SUMIF(AA195:AA197,"=39476960",GL195:GL197),2)</f>
        <v>0</v>
      </c>
      <c r="CA199" s="2">
        <f>ROUND(SUMIF(AA195:AA197,"=39476960",GM195:GM197),2)</f>
        <v>3861.21</v>
      </c>
      <c r="CB199" s="2">
        <f>ROUND(SUMIF(AA195:AA197,"=39476960",GN195:GN197),2)</f>
        <v>0</v>
      </c>
      <c r="CC199" s="2">
        <f>ROUND(SUMIF(AA195:AA197,"=39476960",GO195:GO197),2)</f>
        <v>0</v>
      </c>
      <c r="CD199" s="2">
        <f>ROUND(SUMIF(AA195:AA197,"=39476960",GP195:GP197),2)</f>
        <v>3861.21</v>
      </c>
      <c r="CE199" s="2">
        <f>AC199-BX199</f>
        <v>0</v>
      </c>
      <c r="CF199" s="2">
        <f>AC199-BY199</f>
        <v>0</v>
      </c>
      <c r="CG199" s="2">
        <f>BX199-BZ199</f>
        <v>0</v>
      </c>
      <c r="CH199" s="2">
        <f>AC199-BX199-BY199+BZ199</f>
        <v>0</v>
      </c>
      <c r="CI199" s="2">
        <f>BY199-BZ199</f>
        <v>0</v>
      </c>
      <c r="CJ199" s="2">
        <f>ROUND(SUMIF(AA195:AA197,"=39476960",GX195:GX197),2)</f>
        <v>0</v>
      </c>
      <c r="CK199" s="2">
        <f>ROUND(SUMIF(AA195:AA197,"=39476960",GY195:GY197),2)</f>
        <v>0</v>
      </c>
      <c r="CL199" s="2">
        <f>ROUND(SUMIF(AA195:AA197,"=39476960",GZ195:GZ197),2)</f>
        <v>0</v>
      </c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>
        <v>0</v>
      </c>
    </row>
    <row r="201" spans="1:245" x14ac:dyDescent="0.2">
      <c r="A201" s="4">
        <v>50</v>
      </c>
      <c r="B201" s="4">
        <v>0</v>
      </c>
      <c r="C201" s="4">
        <v>0</v>
      </c>
      <c r="D201" s="4">
        <v>1</v>
      </c>
      <c r="E201" s="4">
        <v>201</v>
      </c>
      <c r="F201" s="4">
        <f>ROUND(Source!O199,O201)</f>
        <v>1883.52</v>
      </c>
      <c r="G201" s="4" t="s">
        <v>313</v>
      </c>
      <c r="H201" s="4" t="s">
        <v>314</v>
      </c>
      <c r="I201" s="4"/>
      <c r="J201" s="4"/>
      <c r="K201" s="4">
        <v>201</v>
      </c>
      <c r="L201" s="4">
        <v>1</v>
      </c>
      <c r="M201" s="4">
        <v>3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45" x14ac:dyDescent="0.2">
      <c r="A202" s="4">
        <v>50</v>
      </c>
      <c r="B202" s="4">
        <v>0</v>
      </c>
      <c r="C202" s="4">
        <v>0</v>
      </c>
      <c r="D202" s="4">
        <v>1</v>
      </c>
      <c r="E202" s="4">
        <v>202</v>
      </c>
      <c r="F202" s="4">
        <f>ROUND(Source!P199,O202)</f>
        <v>0</v>
      </c>
      <c r="G202" s="4" t="s">
        <v>315</v>
      </c>
      <c r="H202" s="4" t="s">
        <v>316</v>
      </c>
      <c r="I202" s="4"/>
      <c r="J202" s="4"/>
      <c r="K202" s="4">
        <v>202</v>
      </c>
      <c r="L202" s="4">
        <v>2</v>
      </c>
      <c r="M202" s="4">
        <v>3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45" x14ac:dyDescent="0.2">
      <c r="A203" s="4">
        <v>50</v>
      </c>
      <c r="B203" s="4">
        <v>0</v>
      </c>
      <c r="C203" s="4">
        <v>0</v>
      </c>
      <c r="D203" s="4">
        <v>1</v>
      </c>
      <c r="E203" s="4">
        <v>222</v>
      </c>
      <c r="F203" s="4">
        <f>ROUND(Source!AO199,O203)</f>
        <v>0</v>
      </c>
      <c r="G203" s="4" t="s">
        <v>317</v>
      </c>
      <c r="H203" s="4" t="s">
        <v>318</v>
      </c>
      <c r="I203" s="4"/>
      <c r="J203" s="4"/>
      <c r="K203" s="4">
        <v>222</v>
      </c>
      <c r="L203" s="4">
        <v>3</v>
      </c>
      <c r="M203" s="4">
        <v>3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45" x14ac:dyDescent="0.2">
      <c r="A204" s="4">
        <v>50</v>
      </c>
      <c r="B204" s="4">
        <v>0</v>
      </c>
      <c r="C204" s="4">
        <v>0</v>
      </c>
      <c r="D204" s="4">
        <v>1</v>
      </c>
      <c r="E204" s="4">
        <v>225</v>
      </c>
      <c r="F204" s="4">
        <f>ROUND(Source!AV199,O204)</f>
        <v>0</v>
      </c>
      <c r="G204" s="4" t="s">
        <v>319</v>
      </c>
      <c r="H204" s="4" t="s">
        <v>320</v>
      </c>
      <c r="I204" s="4"/>
      <c r="J204" s="4"/>
      <c r="K204" s="4">
        <v>225</v>
      </c>
      <c r="L204" s="4">
        <v>4</v>
      </c>
      <c r="M204" s="4">
        <v>3</v>
      </c>
      <c r="N204" s="4" t="s">
        <v>3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45" x14ac:dyDescent="0.2">
      <c r="A205" s="4">
        <v>50</v>
      </c>
      <c r="B205" s="4">
        <v>0</v>
      </c>
      <c r="C205" s="4">
        <v>0</v>
      </c>
      <c r="D205" s="4">
        <v>1</v>
      </c>
      <c r="E205" s="4">
        <v>226</v>
      </c>
      <c r="F205" s="4">
        <f>ROUND(Source!AW199,O205)</f>
        <v>0</v>
      </c>
      <c r="G205" s="4" t="s">
        <v>321</v>
      </c>
      <c r="H205" s="4" t="s">
        <v>322</v>
      </c>
      <c r="I205" s="4"/>
      <c r="J205" s="4"/>
      <c r="K205" s="4">
        <v>226</v>
      </c>
      <c r="L205" s="4">
        <v>5</v>
      </c>
      <c r="M205" s="4">
        <v>3</v>
      </c>
      <c r="N205" s="4" t="s">
        <v>3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45" x14ac:dyDescent="0.2">
      <c r="A206" s="4">
        <v>50</v>
      </c>
      <c r="B206" s="4">
        <v>0</v>
      </c>
      <c r="C206" s="4">
        <v>0</v>
      </c>
      <c r="D206" s="4">
        <v>1</v>
      </c>
      <c r="E206" s="4">
        <v>227</v>
      </c>
      <c r="F206" s="4">
        <f>ROUND(Source!AX199,O206)</f>
        <v>0</v>
      </c>
      <c r="G206" s="4" t="s">
        <v>323</v>
      </c>
      <c r="H206" s="4" t="s">
        <v>324</v>
      </c>
      <c r="I206" s="4"/>
      <c r="J206" s="4"/>
      <c r="K206" s="4">
        <v>227</v>
      </c>
      <c r="L206" s="4">
        <v>6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45" x14ac:dyDescent="0.2">
      <c r="A207" s="4">
        <v>50</v>
      </c>
      <c r="B207" s="4">
        <v>0</v>
      </c>
      <c r="C207" s="4">
        <v>0</v>
      </c>
      <c r="D207" s="4">
        <v>1</v>
      </c>
      <c r="E207" s="4">
        <v>228</v>
      </c>
      <c r="F207" s="4">
        <f>ROUND(Source!AY199,O207)</f>
        <v>0</v>
      </c>
      <c r="G207" s="4" t="s">
        <v>325</v>
      </c>
      <c r="H207" s="4" t="s">
        <v>326</v>
      </c>
      <c r="I207" s="4"/>
      <c r="J207" s="4"/>
      <c r="K207" s="4">
        <v>228</v>
      </c>
      <c r="L207" s="4">
        <v>7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45" x14ac:dyDescent="0.2">
      <c r="A208" s="4">
        <v>50</v>
      </c>
      <c r="B208" s="4">
        <v>0</v>
      </c>
      <c r="C208" s="4">
        <v>0</v>
      </c>
      <c r="D208" s="4">
        <v>1</v>
      </c>
      <c r="E208" s="4">
        <v>216</v>
      </c>
      <c r="F208" s="4">
        <f>ROUND(Source!AP199,O208)</f>
        <v>0</v>
      </c>
      <c r="G208" s="4" t="s">
        <v>327</v>
      </c>
      <c r="H208" s="4" t="s">
        <v>328</v>
      </c>
      <c r="I208" s="4"/>
      <c r="J208" s="4"/>
      <c r="K208" s="4">
        <v>216</v>
      </c>
      <c r="L208" s="4">
        <v>8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3" x14ac:dyDescent="0.2">
      <c r="A209" s="4">
        <v>50</v>
      </c>
      <c r="B209" s="4">
        <v>0</v>
      </c>
      <c r="C209" s="4">
        <v>0</v>
      </c>
      <c r="D209" s="4">
        <v>1</v>
      </c>
      <c r="E209" s="4">
        <v>223</v>
      </c>
      <c r="F209" s="4">
        <f>ROUND(Source!AQ199,O209)</f>
        <v>0</v>
      </c>
      <c r="G209" s="4" t="s">
        <v>329</v>
      </c>
      <c r="H209" s="4" t="s">
        <v>330</v>
      </c>
      <c r="I209" s="4"/>
      <c r="J209" s="4"/>
      <c r="K209" s="4">
        <v>223</v>
      </c>
      <c r="L209" s="4">
        <v>9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3" x14ac:dyDescent="0.2">
      <c r="A210" s="4">
        <v>50</v>
      </c>
      <c r="B210" s="4">
        <v>0</v>
      </c>
      <c r="C210" s="4">
        <v>0</v>
      </c>
      <c r="D210" s="4">
        <v>1</v>
      </c>
      <c r="E210" s="4">
        <v>229</v>
      </c>
      <c r="F210" s="4">
        <f>ROUND(Source!AZ199,O210)</f>
        <v>0</v>
      </c>
      <c r="G210" s="4" t="s">
        <v>331</v>
      </c>
      <c r="H210" s="4" t="s">
        <v>332</v>
      </c>
      <c r="I210" s="4"/>
      <c r="J210" s="4"/>
      <c r="K210" s="4">
        <v>229</v>
      </c>
      <c r="L210" s="4">
        <v>10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3" x14ac:dyDescent="0.2">
      <c r="A211" s="4">
        <v>50</v>
      </c>
      <c r="B211" s="4">
        <v>0</v>
      </c>
      <c r="C211" s="4">
        <v>0</v>
      </c>
      <c r="D211" s="4">
        <v>1</v>
      </c>
      <c r="E211" s="4">
        <v>203</v>
      </c>
      <c r="F211" s="4">
        <f>ROUND(Source!Q199,O211)</f>
        <v>0</v>
      </c>
      <c r="G211" s="4" t="s">
        <v>333</v>
      </c>
      <c r="H211" s="4" t="s">
        <v>334</v>
      </c>
      <c r="I211" s="4"/>
      <c r="J211" s="4"/>
      <c r="K211" s="4">
        <v>203</v>
      </c>
      <c r="L211" s="4">
        <v>11</v>
      </c>
      <c r="M211" s="4">
        <v>3</v>
      </c>
      <c r="N211" s="4" t="s">
        <v>3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3" x14ac:dyDescent="0.2">
      <c r="A212" s="4">
        <v>50</v>
      </c>
      <c r="B212" s="4">
        <v>0</v>
      </c>
      <c r="C212" s="4">
        <v>0</v>
      </c>
      <c r="D212" s="4">
        <v>1</v>
      </c>
      <c r="E212" s="4">
        <v>231</v>
      </c>
      <c r="F212" s="4">
        <f>ROUND(Source!BB199,O212)</f>
        <v>0</v>
      </c>
      <c r="G212" s="4" t="s">
        <v>335</v>
      </c>
      <c r="H212" s="4" t="s">
        <v>336</v>
      </c>
      <c r="I212" s="4"/>
      <c r="J212" s="4"/>
      <c r="K212" s="4">
        <v>231</v>
      </c>
      <c r="L212" s="4">
        <v>12</v>
      </c>
      <c r="M212" s="4">
        <v>3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3" x14ac:dyDescent="0.2">
      <c r="A213" s="4">
        <v>50</v>
      </c>
      <c r="B213" s="4">
        <v>0</v>
      </c>
      <c r="C213" s="4">
        <v>0</v>
      </c>
      <c r="D213" s="4">
        <v>1</v>
      </c>
      <c r="E213" s="4">
        <v>204</v>
      </c>
      <c r="F213" s="4">
        <f>ROUND(Source!R199,O213)</f>
        <v>0</v>
      </c>
      <c r="G213" s="4" t="s">
        <v>337</v>
      </c>
      <c r="H213" s="4" t="s">
        <v>338</v>
      </c>
      <c r="I213" s="4"/>
      <c r="J213" s="4"/>
      <c r="K213" s="4">
        <v>204</v>
      </c>
      <c r="L213" s="4">
        <v>13</v>
      </c>
      <c r="M213" s="4">
        <v>3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3" x14ac:dyDescent="0.2">
      <c r="A214" s="4">
        <v>50</v>
      </c>
      <c r="B214" s="4">
        <v>0</v>
      </c>
      <c r="C214" s="4">
        <v>0</v>
      </c>
      <c r="D214" s="4">
        <v>1</v>
      </c>
      <c r="E214" s="4">
        <v>205</v>
      </c>
      <c r="F214" s="4">
        <f>ROUND(Source!S199,O214)</f>
        <v>1883.52</v>
      </c>
      <c r="G214" s="4" t="s">
        <v>339</v>
      </c>
      <c r="H214" s="4" t="s">
        <v>340</v>
      </c>
      <c r="I214" s="4"/>
      <c r="J214" s="4"/>
      <c r="K214" s="4">
        <v>205</v>
      </c>
      <c r="L214" s="4">
        <v>14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3" x14ac:dyDescent="0.2">
      <c r="A215" s="4">
        <v>50</v>
      </c>
      <c r="B215" s="4">
        <v>0</v>
      </c>
      <c r="C215" s="4">
        <v>0</v>
      </c>
      <c r="D215" s="4">
        <v>1</v>
      </c>
      <c r="E215" s="4">
        <v>232</v>
      </c>
      <c r="F215" s="4">
        <f>ROUND(Source!BC199,O215)</f>
        <v>0</v>
      </c>
      <c r="G215" s="4" t="s">
        <v>341</v>
      </c>
      <c r="H215" s="4" t="s">
        <v>342</v>
      </c>
      <c r="I215" s="4"/>
      <c r="J215" s="4"/>
      <c r="K215" s="4">
        <v>232</v>
      </c>
      <c r="L215" s="4">
        <v>15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3" x14ac:dyDescent="0.2">
      <c r="A216" s="4">
        <v>50</v>
      </c>
      <c r="B216" s="4">
        <v>0</v>
      </c>
      <c r="C216" s="4">
        <v>0</v>
      </c>
      <c r="D216" s="4">
        <v>1</v>
      </c>
      <c r="E216" s="4">
        <v>214</v>
      </c>
      <c r="F216" s="4">
        <f>ROUND(Source!AS199,O216)</f>
        <v>0</v>
      </c>
      <c r="G216" s="4" t="s">
        <v>343</v>
      </c>
      <c r="H216" s="4" t="s">
        <v>344</v>
      </c>
      <c r="I216" s="4"/>
      <c r="J216" s="4"/>
      <c r="K216" s="4">
        <v>214</v>
      </c>
      <c r="L216" s="4">
        <v>16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3" x14ac:dyDescent="0.2">
      <c r="A217" s="4">
        <v>50</v>
      </c>
      <c r="B217" s="4">
        <v>0</v>
      </c>
      <c r="C217" s="4">
        <v>0</v>
      </c>
      <c r="D217" s="4">
        <v>1</v>
      </c>
      <c r="E217" s="4">
        <v>215</v>
      </c>
      <c r="F217" s="4">
        <f>ROUND(Source!AT199,O217)</f>
        <v>0</v>
      </c>
      <c r="G217" s="4" t="s">
        <v>345</v>
      </c>
      <c r="H217" s="4" t="s">
        <v>346</v>
      </c>
      <c r="I217" s="4"/>
      <c r="J217" s="4"/>
      <c r="K217" s="4">
        <v>215</v>
      </c>
      <c r="L217" s="4">
        <v>17</v>
      </c>
      <c r="M217" s="4">
        <v>3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3" x14ac:dyDescent="0.2">
      <c r="A218" s="4">
        <v>50</v>
      </c>
      <c r="B218" s="4">
        <v>0</v>
      </c>
      <c r="C218" s="4">
        <v>0</v>
      </c>
      <c r="D218" s="4">
        <v>1</v>
      </c>
      <c r="E218" s="4">
        <v>217</v>
      </c>
      <c r="F218" s="4">
        <f>ROUND(Source!AU199,O218)</f>
        <v>3861.21</v>
      </c>
      <c r="G218" s="4" t="s">
        <v>347</v>
      </c>
      <c r="H218" s="4" t="s">
        <v>348</v>
      </c>
      <c r="I218" s="4"/>
      <c r="J218" s="4"/>
      <c r="K218" s="4">
        <v>217</v>
      </c>
      <c r="L218" s="4">
        <v>18</v>
      </c>
      <c r="M218" s="4">
        <v>3</v>
      </c>
      <c r="N218" s="4" t="s">
        <v>3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3" x14ac:dyDescent="0.2">
      <c r="A219" s="4">
        <v>50</v>
      </c>
      <c r="B219" s="4">
        <v>0</v>
      </c>
      <c r="C219" s="4">
        <v>0</v>
      </c>
      <c r="D219" s="4">
        <v>1</v>
      </c>
      <c r="E219" s="4">
        <v>230</v>
      </c>
      <c r="F219" s="4">
        <f>ROUND(Source!BA199,O219)</f>
        <v>0</v>
      </c>
      <c r="G219" s="4" t="s">
        <v>349</v>
      </c>
      <c r="H219" s="4" t="s">
        <v>350</v>
      </c>
      <c r="I219" s="4"/>
      <c r="J219" s="4"/>
      <c r="K219" s="4">
        <v>230</v>
      </c>
      <c r="L219" s="4">
        <v>19</v>
      </c>
      <c r="M219" s="4">
        <v>3</v>
      </c>
      <c r="N219" s="4" t="s">
        <v>3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3" x14ac:dyDescent="0.2">
      <c r="A220" s="4">
        <v>50</v>
      </c>
      <c r="B220" s="4">
        <v>0</v>
      </c>
      <c r="C220" s="4">
        <v>0</v>
      </c>
      <c r="D220" s="4">
        <v>1</v>
      </c>
      <c r="E220" s="4">
        <v>206</v>
      </c>
      <c r="F220" s="4">
        <f>ROUND(Source!T199,O220)</f>
        <v>0</v>
      </c>
      <c r="G220" s="4" t="s">
        <v>351</v>
      </c>
      <c r="H220" s="4" t="s">
        <v>352</v>
      </c>
      <c r="I220" s="4"/>
      <c r="J220" s="4"/>
      <c r="K220" s="4">
        <v>206</v>
      </c>
      <c r="L220" s="4">
        <v>20</v>
      </c>
      <c r="M220" s="4">
        <v>3</v>
      </c>
      <c r="N220" s="4" t="s">
        <v>3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3" x14ac:dyDescent="0.2">
      <c r="A221" s="4">
        <v>50</v>
      </c>
      <c r="B221" s="4">
        <v>0</v>
      </c>
      <c r="C221" s="4">
        <v>0</v>
      </c>
      <c r="D221" s="4">
        <v>1</v>
      </c>
      <c r="E221" s="4">
        <v>207</v>
      </c>
      <c r="F221" s="4">
        <f>Source!U199</f>
        <v>10.26816</v>
      </c>
      <c r="G221" s="4" t="s">
        <v>353</v>
      </c>
      <c r="H221" s="4" t="s">
        <v>354</v>
      </c>
      <c r="I221" s="4"/>
      <c r="J221" s="4"/>
      <c r="K221" s="4">
        <v>207</v>
      </c>
      <c r="L221" s="4">
        <v>21</v>
      </c>
      <c r="M221" s="4">
        <v>3</v>
      </c>
      <c r="N221" s="4" t="s">
        <v>3</v>
      </c>
      <c r="O221" s="4">
        <v>-1</v>
      </c>
      <c r="P221" s="4"/>
      <c r="Q221" s="4"/>
      <c r="R221" s="4"/>
      <c r="S221" s="4"/>
      <c r="T221" s="4"/>
      <c r="U221" s="4"/>
      <c r="V221" s="4"/>
      <c r="W221" s="4"/>
    </row>
    <row r="222" spans="1:23" x14ac:dyDescent="0.2">
      <c r="A222" s="4">
        <v>50</v>
      </c>
      <c r="B222" s="4">
        <v>0</v>
      </c>
      <c r="C222" s="4">
        <v>0</v>
      </c>
      <c r="D222" s="4">
        <v>1</v>
      </c>
      <c r="E222" s="4">
        <v>208</v>
      </c>
      <c r="F222" s="4">
        <f>Source!V199</f>
        <v>0</v>
      </c>
      <c r="G222" s="4" t="s">
        <v>355</v>
      </c>
      <c r="H222" s="4" t="s">
        <v>356</v>
      </c>
      <c r="I222" s="4"/>
      <c r="J222" s="4"/>
      <c r="K222" s="4">
        <v>208</v>
      </c>
      <c r="L222" s="4">
        <v>22</v>
      </c>
      <c r="M222" s="4">
        <v>3</v>
      </c>
      <c r="N222" s="4" t="s">
        <v>3</v>
      </c>
      <c r="O222" s="4">
        <v>-1</v>
      </c>
      <c r="P222" s="4"/>
      <c r="Q222" s="4"/>
      <c r="R222" s="4"/>
      <c r="S222" s="4"/>
      <c r="T222" s="4"/>
      <c r="U222" s="4"/>
      <c r="V222" s="4"/>
      <c r="W222" s="4"/>
    </row>
    <row r="223" spans="1:23" x14ac:dyDescent="0.2">
      <c r="A223" s="4">
        <v>50</v>
      </c>
      <c r="B223" s="4">
        <v>0</v>
      </c>
      <c r="C223" s="4">
        <v>0</v>
      </c>
      <c r="D223" s="4">
        <v>1</v>
      </c>
      <c r="E223" s="4">
        <v>209</v>
      </c>
      <c r="F223" s="4">
        <f>ROUND(Source!W199,O223)</f>
        <v>0</v>
      </c>
      <c r="G223" s="4" t="s">
        <v>357</v>
      </c>
      <c r="H223" s="4" t="s">
        <v>358</v>
      </c>
      <c r="I223" s="4"/>
      <c r="J223" s="4"/>
      <c r="K223" s="4">
        <v>209</v>
      </c>
      <c r="L223" s="4">
        <v>23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3" x14ac:dyDescent="0.2">
      <c r="A224" s="4">
        <v>50</v>
      </c>
      <c r="B224" s="4">
        <v>0</v>
      </c>
      <c r="C224" s="4">
        <v>0</v>
      </c>
      <c r="D224" s="4">
        <v>1</v>
      </c>
      <c r="E224" s="4">
        <v>210</v>
      </c>
      <c r="F224" s="4">
        <f>ROUND(Source!X199,O224)</f>
        <v>1224.28</v>
      </c>
      <c r="G224" s="4" t="s">
        <v>359</v>
      </c>
      <c r="H224" s="4" t="s">
        <v>360</v>
      </c>
      <c r="I224" s="4"/>
      <c r="J224" s="4"/>
      <c r="K224" s="4">
        <v>210</v>
      </c>
      <c r="L224" s="4">
        <v>24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45" x14ac:dyDescent="0.2">
      <c r="A225" s="4">
        <v>50</v>
      </c>
      <c r="B225" s="4">
        <v>0</v>
      </c>
      <c r="C225" s="4">
        <v>0</v>
      </c>
      <c r="D225" s="4">
        <v>1</v>
      </c>
      <c r="E225" s="4">
        <v>211</v>
      </c>
      <c r="F225" s="4">
        <f>ROUND(Source!Y199,O225)</f>
        <v>753.41</v>
      </c>
      <c r="G225" s="4" t="s">
        <v>361</v>
      </c>
      <c r="H225" s="4" t="s">
        <v>362</v>
      </c>
      <c r="I225" s="4"/>
      <c r="J225" s="4"/>
      <c r="K225" s="4">
        <v>211</v>
      </c>
      <c r="L225" s="4">
        <v>25</v>
      </c>
      <c r="M225" s="4">
        <v>3</v>
      </c>
      <c r="N225" s="4" t="s">
        <v>3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45" x14ac:dyDescent="0.2">
      <c r="A226" s="4">
        <v>50</v>
      </c>
      <c r="B226" s="4">
        <v>0</v>
      </c>
      <c r="C226" s="4">
        <v>0</v>
      </c>
      <c r="D226" s="4">
        <v>1</v>
      </c>
      <c r="E226" s="4">
        <v>224</v>
      </c>
      <c r="F226" s="4">
        <f>ROUND(Source!AR199,O226)</f>
        <v>3861.21</v>
      </c>
      <c r="G226" s="4" t="s">
        <v>363</v>
      </c>
      <c r="H226" s="4" t="s">
        <v>364</v>
      </c>
      <c r="I226" s="4"/>
      <c r="J226" s="4"/>
      <c r="K226" s="4">
        <v>224</v>
      </c>
      <c r="L226" s="4">
        <v>26</v>
      </c>
      <c r="M226" s="4">
        <v>3</v>
      </c>
      <c r="N226" s="4" t="s">
        <v>3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8" spans="1:245" x14ac:dyDescent="0.2">
      <c r="A228" s="1">
        <v>4</v>
      </c>
      <c r="B228" s="1">
        <v>1</v>
      </c>
      <c r="C228" s="1"/>
      <c r="D228" s="1">
        <f>ROW(A272)</f>
        <v>272</v>
      </c>
      <c r="E228" s="1"/>
      <c r="F228" s="1" t="s">
        <v>12</v>
      </c>
      <c r="G228" s="1" t="s">
        <v>504</v>
      </c>
      <c r="H228" s="1" t="s">
        <v>3</v>
      </c>
      <c r="I228" s="1">
        <v>0</v>
      </c>
      <c r="J228" s="1"/>
      <c r="K228" s="1">
        <v>-1</v>
      </c>
      <c r="L228" s="1"/>
      <c r="M228" s="1"/>
      <c r="N228" s="1"/>
      <c r="O228" s="1"/>
      <c r="P228" s="1"/>
      <c r="Q228" s="1"/>
      <c r="R228" s="1"/>
      <c r="S228" s="1"/>
      <c r="T228" s="1"/>
      <c r="U228" s="1" t="s">
        <v>3</v>
      </c>
      <c r="V228" s="1">
        <v>0</v>
      </c>
      <c r="W228" s="1"/>
      <c r="X228" s="1"/>
      <c r="Y228" s="1"/>
      <c r="Z228" s="1"/>
      <c r="AA228" s="1"/>
      <c r="AB228" s="1" t="s">
        <v>3</v>
      </c>
      <c r="AC228" s="1" t="s">
        <v>3</v>
      </c>
      <c r="AD228" s="1" t="s">
        <v>3</v>
      </c>
      <c r="AE228" s="1" t="s">
        <v>3</v>
      </c>
      <c r="AF228" s="1" t="s">
        <v>3</v>
      </c>
      <c r="AG228" s="1" t="s">
        <v>3</v>
      </c>
      <c r="AH228" s="1"/>
      <c r="AI228" s="1"/>
      <c r="AJ228" s="1"/>
      <c r="AK228" s="1"/>
      <c r="AL228" s="1"/>
      <c r="AM228" s="1"/>
      <c r="AN228" s="1"/>
      <c r="AO228" s="1"/>
      <c r="AP228" s="1" t="s">
        <v>3</v>
      </c>
      <c r="AQ228" s="1" t="s">
        <v>3</v>
      </c>
      <c r="AR228" s="1" t="s">
        <v>3</v>
      </c>
      <c r="AS228" s="1"/>
      <c r="AT228" s="1"/>
      <c r="AU228" s="1"/>
      <c r="AV228" s="1"/>
      <c r="AW228" s="1"/>
      <c r="AX228" s="1"/>
      <c r="AY228" s="1"/>
      <c r="AZ228" s="1" t="s">
        <v>3</v>
      </c>
      <c r="BA228" s="1"/>
      <c r="BB228" s="1" t="s">
        <v>3</v>
      </c>
      <c r="BC228" s="1" t="s">
        <v>3</v>
      </c>
      <c r="BD228" s="1" t="s">
        <v>3</v>
      </c>
      <c r="BE228" s="1" t="s">
        <v>3</v>
      </c>
      <c r="BF228" s="1" t="s">
        <v>3</v>
      </c>
      <c r="BG228" s="1" t="s">
        <v>3</v>
      </c>
      <c r="BH228" s="1" t="s">
        <v>3</v>
      </c>
      <c r="BI228" s="1" t="s">
        <v>3</v>
      </c>
      <c r="BJ228" s="1" t="s">
        <v>3</v>
      </c>
      <c r="BK228" s="1" t="s">
        <v>3</v>
      </c>
      <c r="BL228" s="1" t="s">
        <v>3</v>
      </c>
      <c r="BM228" s="1" t="s">
        <v>3</v>
      </c>
      <c r="BN228" s="1" t="s">
        <v>3</v>
      </c>
      <c r="BO228" s="1" t="s">
        <v>3</v>
      </c>
      <c r="BP228" s="1" t="s">
        <v>3</v>
      </c>
      <c r="BQ228" s="1"/>
      <c r="BR228" s="1"/>
      <c r="BS228" s="1"/>
      <c r="BT228" s="1"/>
      <c r="BU228" s="1"/>
      <c r="BV228" s="1"/>
      <c r="BW228" s="1"/>
      <c r="BX228" s="1">
        <v>0</v>
      </c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>
        <v>0</v>
      </c>
    </row>
    <row r="230" spans="1:245" x14ac:dyDescent="0.2">
      <c r="A230" s="2">
        <v>52</v>
      </c>
      <c r="B230" s="2">
        <f t="shared" ref="B230:G230" si="193">B272</f>
        <v>1</v>
      </c>
      <c r="C230" s="2">
        <f t="shared" si="193"/>
        <v>4</v>
      </c>
      <c r="D230" s="2">
        <f t="shared" si="193"/>
        <v>228</v>
      </c>
      <c r="E230" s="2">
        <f t="shared" si="193"/>
        <v>0</v>
      </c>
      <c r="F230" s="2" t="str">
        <f t="shared" si="193"/>
        <v>Новый раздел</v>
      </c>
      <c r="G230" s="2" t="str">
        <f t="shared" si="193"/>
        <v>Система водоснабжения и канализации</v>
      </c>
      <c r="H230" s="2"/>
      <c r="I230" s="2"/>
      <c r="J230" s="2"/>
      <c r="K230" s="2"/>
      <c r="L230" s="2"/>
      <c r="M230" s="2"/>
      <c r="N230" s="2"/>
      <c r="O230" s="2">
        <f t="shared" ref="O230:AT230" si="194">O272</f>
        <v>181415.61</v>
      </c>
      <c r="P230" s="2">
        <f t="shared" si="194"/>
        <v>138984.65</v>
      </c>
      <c r="Q230" s="2">
        <f t="shared" si="194"/>
        <v>17712.509999999998</v>
      </c>
      <c r="R230" s="2">
        <f t="shared" si="194"/>
        <v>2395.5700000000002</v>
      </c>
      <c r="S230" s="2">
        <f t="shared" si="194"/>
        <v>24718.45</v>
      </c>
      <c r="T230" s="2">
        <f t="shared" si="194"/>
        <v>0</v>
      </c>
      <c r="U230" s="2">
        <f t="shared" si="194"/>
        <v>407.39287999999993</v>
      </c>
      <c r="V230" s="2">
        <f t="shared" si="194"/>
        <v>29.046299999999999</v>
      </c>
      <c r="W230" s="2">
        <f t="shared" si="194"/>
        <v>0</v>
      </c>
      <c r="X230" s="2">
        <f t="shared" si="194"/>
        <v>31082.58</v>
      </c>
      <c r="Y230" s="2">
        <f t="shared" si="194"/>
        <v>19217.38</v>
      </c>
      <c r="Z230" s="2">
        <f t="shared" si="194"/>
        <v>0</v>
      </c>
      <c r="AA230" s="2">
        <f t="shared" si="194"/>
        <v>0</v>
      </c>
      <c r="AB230" s="2">
        <f t="shared" si="194"/>
        <v>181415.61</v>
      </c>
      <c r="AC230" s="2">
        <f t="shared" si="194"/>
        <v>138984.65</v>
      </c>
      <c r="AD230" s="2">
        <f t="shared" si="194"/>
        <v>17712.509999999998</v>
      </c>
      <c r="AE230" s="2">
        <f t="shared" si="194"/>
        <v>2395.5700000000002</v>
      </c>
      <c r="AF230" s="2">
        <f t="shared" si="194"/>
        <v>24718.45</v>
      </c>
      <c r="AG230" s="2">
        <f t="shared" si="194"/>
        <v>0</v>
      </c>
      <c r="AH230" s="2">
        <f t="shared" si="194"/>
        <v>407.39287999999993</v>
      </c>
      <c r="AI230" s="2">
        <f t="shared" si="194"/>
        <v>29.046299999999999</v>
      </c>
      <c r="AJ230" s="2">
        <f t="shared" si="194"/>
        <v>0</v>
      </c>
      <c r="AK230" s="2">
        <f t="shared" si="194"/>
        <v>31082.58</v>
      </c>
      <c r="AL230" s="2">
        <f t="shared" si="194"/>
        <v>19217.38</v>
      </c>
      <c r="AM230" s="2">
        <f t="shared" si="194"/>
        <v>0</v>
      </c>
      <c r="AN230" s="2">
        <f t="shared" si="194"/>
        <v>0</v>
      </c>
      <c r="AO230" s="2">
        <f t="shared" si="194"/>
        <v>0</v>
      </c>
      <c r="AP230" s="2">
        <f t="shared" si="194"/>
        <v>0</v>
      </c>
      <c r="AQ230" s="2">
        <f t="shared" si="194"/>
        <v>0</v>
      </c>
      <c r="AR230" s="2">
        <f t="shared" si="194"/>
        <v>231715.57</v>
      </c>
      <c r="AS230" s="2">
        <f t="shared" si="194"/>
        <v>121245.39</v>
      </c>
      <c r="AT230" s="2">
        <f t="shared" si="194"/>
        <v>110470.18</v>
      </c>
      <c r="AU230" s="2">
        <f t="shared" ref="AU230:BZ230" si="195">AU272</f>
        <v>0</v>
      </c>
      <c r="AV230" s="2">
        <f t="shared" si="195"/>
        <v>138984.65</v>
      </c>
      <c r="AW230" s="2">
        <f t="shared" si="195"/>
        <v>138984.65</v>
      </c>
      <c r="AX230" s="2">
        <f t="shared" si="195"/>
        <v>0</v>
      </c>
      <c r="AY230" s="2">
        <f t="shared" si="195"/>
        <v>138984.65</v>
      </c>
      <c r="AZ230" s="2">
        <f t="shared" si="195"/>
        <v>0</v>
      </c>
      <c r="BA230" s="2">
        <f t="shared" si="195"/>
        <v>0</v>
      </c>
      <c r="BB230" s="2">
        <f t="shared" si="195"/>
        <v>0</v>
      </c>
      <c r="BC230" s="2">
        <f t="shared" si="195"/>
        <v>0</v>
      </c>
      <c r="BD230" s="2">
        <f t="shared" si="195"/>
        <v>0</v>
      </c>
      <c r="BE230" s="2">
        <f t="shared" si="195"/>
        <v>0</v>
      </c>
      <c r="BF230" s="2">
        <f t="shared" si="195"/>
        <v>0</v>
      </c>
      <c r="BG230" s="2">
        <f t="shared" si="195"/>
        <v>0</v>
      </c>
      <c r="BH230" s="2">
        <f t="shared" si="195"/>
        <v>0</v>
      </c>
      <c r="BI230" s="2">
        <f t="shared" si="195"/>
        <v>0</v>
      </c>
      <c r="BJ230" s="2">
        <f t="shared" si="195"/>
        <v>0</v>
      </c>
      <c r="BK230" s="2">
        <f t="shared" si="195"/>
        <v>0</v>
      </c>
      <c r="BL230" s="2">
        <f t="shared" si="195"/>
        <v>0</v>
      </c>
      <c r="BM230" s="2">
        <f t="shared" si="195"/>
        <v>0</v>
      </c>
      <c r="BN230" s="2">
        <f t="shared" si="195"/>
        <v>0</v>
      </c>
      <c r="BO230" s="2">
        <f t="shared" si="195"/>
        <v>0</v>
      </c>
      <c r="BP230" s="2">
        <f t="shared" si="195"/>
        <v>0</v>
      </c>
      <c r="BQ230" s="2">
        <f t="shared" si="195"/>
        <v>0</v>
      </c>
      <c r="BR230" s="2">
        <f t="shared" si="195"/>
        <v>0</v>
      </c>
      <c r="BS230" s="2">
        <f t="shared" si="195"/>
        <v>0</v>
      </c>
      <c r="BT230" s="2">
        <f t="shared" si="195"/>
        <v>0</v>
      </c>
      <c r="BU230" s="2">
        <f t="shared" si="195"/>
        <v>0</v>
      </c>
      <c r="BV230" s="2">
        <f t="shared" si="195"/>
        <v>0</v>
      </c>
      <c r="BW230" s="2">
        <f t="shared" si="195"/>
        <v>0</v>
      </c>
      <c r="BX230" s="2">
        <f t="shared" si="195"/>
        <v>0</v>
      </c>
      <c r="BY230" s="2">
        <f t="shared" si="195"/>
        <v>0</v>
      </c>
      <c r="BZ230" s="2">
        <f t="shared" si="195"/>
        <v>0</v>
      </c>
      <c r="CA230" s="2">
        <f t="shared" ref="CA230:DF230" si="196">CA272</f>
        <v>231715.57</v>
      </c>
      <c r="CB230" s="2">
        <f t="shared" si="196"/>
        <v>121245.39</v>
      </c>
      <c r="CC230" s="2">
        <f t="shared" si="196"/>
        <v>110470.18</v>
      </c>
      <c r="CD230" s="2">
        <f t="shared" si="196"/>
        <v>0</v>
      </c>
      <c r="CE230" s="2">
        <f t="shared" si="196"/>
        <v>138984.65</v>
      </c>
      <c r="CF230" s="2">
        <f t="shared" si="196"/>
        <v>138984.65</v>
      </c>
      <c r="CG230" s="2">
        <f t="shared" si="196"/>
        <v>0</v>
      </c>
      <c r="CH230" s="2">
        <f t="shared" si="196"/>
        <v>138984.65</v>
      </c>
      <c r="CI230" s="2">
        <f t="shared" si="196"/>
        <v>0</v>
      </c>
      <c r="CJ230" s="2">
        <f t="shared" si="196"/>
        <v>0</v>
      </c>
      <c r="CK230" s="2">
        <f t="shared" si="196"/>
        <v>0</v>
      </c>
      <c r="CL230" s="2">
        <f t="shared" si="196"/>
        <v>0</v>
      </c>
      <c r="CM230" s="2">
        <f t="shared" si="196"/>
        <v>0</v>
      </c>
      <c r="CN230" s="2">
        <f t="shared" si="196"/>
        <v>0</v>
      </c>
      <c r="CO230" s="2">
        <f t="shared" si="196"/>
        <v>0</v>
      </c>
      <c r="CP230" s="2">
        <f t="shared" si="196"/>
        <v>0</v>
      </c>
      <c r="CQ230" s="2">
        <f t="shared" si="196"/>
        <v>0</v>
      </c>
      <c r="CR230" s="2">
        <f t="shared" si="196"/>
        <v>0</v>
      </c>
      <c r="CS230" s="2">
        <f t="shared" si="196"/>
        <v>0</v>
      </c>
      <c r="CT230" s="2">
        <f t="shared" si="196"/>
        <v>0</v>
      </c>
      <c r="CU230" s="2">
        <f t="shared" si="196"/>
        <v>0</v>
      </c>
      <c r="CV230" s="2">
        <f t="shared" si="196"/>
        <v>0</v>
      </c>
      <c r="CW230" s="2">
        <f t="shared" si="196"/>
        <v>0</v>
      </c>
      <c r="CX230" s="2">
        <f t="shared" si="196"/>
        <v>0</v>
      </c>
      <c r="CY230" s="2">
        <f t="shared" si="196"/>
        <v>0</v>
      </c>
      <c r="CZ230" s="2">
        <f t="shared" si="196"/>
        <v>0</v>
      </c>
      <c r="DA230" s="2">
        <f t="shared" si="196"/>
        <v>0</v>
      </c>
      <c r="DB230" s="2">
        <f t="shared" si="196"/>
        <v>0</v>
      </c>
      <c r="DC230" s="2">
        <f t="shared" si="196"/>
        <v>0</v>
      </c>
      <c r="DD230" s="2">
        <f t="shared" si="196"/>
        <v>0</v>
      </c>
      <c r="DE230" s="2">
        <f t="shared" si="196"/>
        <v>0</v>
      </c>
      <c r="DF230" s="2">
        <f t="shared" si="196"/>
        <v>0</v>
      </c>
      <c r="DG230" s="3">
        <f t="shared" ref="DG230:EL230" si="197">DG272</f>
        <v>0</v>
      </c>
      <c r="DH230" s="3">
        <f t="shared" si="197"/>
        <v>0</v>
      </c>
      <c r="DI230" s="3">
        <f t="shared" si="197"/>
        <v>0</v>
      </c>
      <c r="DJ230" s="3">
        <f t="shared" si="197"/>
        <v>0</v>
      </c>
      <c r="DK230" s="3">
        <f t="shared" si="197"/>
        <v>0</v>
      </c>
      <c r="DL230" s="3">
        <f t="shared" si="197"/>
        <v>0</v>
      </c>
      <c r="DM230" s="3">
        <f t="shared" si="197"/>
        <v>0</v>
      </c>
      <c r="DN230" s="3">
        <f t="shared" si="197"/>
        <v>0</v>
      </c>
      <c r="DO230" s="3">
        <f t="shared" si="197"/>
        <v>0</v>
      </c>
      <c r="DP230" s="3">
        <f t="shared" si="197"/>
        <v>0</v>
      </c>
      <c r="DQ230" s="3">
        <f t="shared" si="197"/>
        <v>0</v>
      </c>
      <c r="DR230" s="3">
        <f t="shared" si="197"/>
        <v>0</v>
      </c>
      <c r="DS230" s="3">
        <f t="shared" si="197"/>
        <v>0</v>
      </c>
      <c r="DT230" s="3">
        <f t="shared" si="197"/>
        <v>0</v>
      </c>
      <c r="DU230" s="3">
        <f t="shared" si="197"/>
        <v>0</v>
      </c>
      <c r="DV230" s="3">
        <f t="shared" si="197"/>
        <v>0</v>
      </c>
      <c r="DW230" s="3">
        <f t="shared" si="197"/>
        <v>0</v>
      </c>
      <c r="DX230" s="3">
        <f t="shared" si="197"/>
        <v>0</v>
      </c>
      <c r="DY230" s="3">
        <f t="shared" si="197"/>
        <v>0</v>
      </c>
      <c r="DZ230" s="3">
        <f t="shared" si="197"/>
        <v>0</v>
      </c>
      <c r="EA230" s="3">
        <f t="shared" si="197"/>
        <v>0</v>
      </c>
      <c r="EB230" s="3">
        <f t="shared" si="197"/>
        <v>0</v>
      </c>
      <c r="EC230" s="3">
        <f t="shared" si="197"/>
        <v>0</v>
      </c>
      <c r="ED230" s="3">
        <f t="shared" si="197"/>
        <v>0</v>
      </c>
      <c r="EE230" s="3">
        <f t="shared" si="197"/>
        <v>0</v>
      </c>
      <c r="EF230" s="3">
        <f t="shared" si="197"/>
        <v>0</v>
      </c>
      <c r="EG230" s="3">
        <f t="shared" si="197"/>
        <v>0</v>
      </c>
      <c r="EH230" s="3">
        <f t="shared" si="197"/>
        <v>0</v>
      </c>
      <c r="EI230" s="3">
        <f t="shared" si="197"/>
        <v>0</v>
      </c>
      <c r="EJ230" s="3">
        <f t="shared" si="197"/>
        <v>0</v>
      </c>
      <c r="EK230" s="3">
        <f t="shared" si="197"/>
        <v>0</v>
      </c>
      <c r="EL230" s="3">
        <f t="shared" si="197"/>
        <v>0</v>
      </c>
      <c r="EM230" s="3">
        <f t="shared" ref="EM230:FR230" si="198">EM272</f>
        <v>0</v>
      </c>
      <c r="EN230" s="3">
        <f t="shared" si="198"/>
        <v>0</v>
      </c>
      <c r="EO230" s="3">
        <f t="shared" si="198"/>
        <v>0</v>
      </c>
      <c r="EP230" s="3">
        <f t="shared" si="198"/>
        <v>0</v>
      </c>
      <c r="EQ230" s="3">
        <f t="shared" si="198"/>
        <v>0</v>
      </c>
      <c r="ER230" s="3">
        <f t="shared" si="198"/>
        <v>0</v>
      </c>
      <c r="ES230" s="3">
        <f t="shared" si="198"/>
        <v>0</v>
      </c>
      <c r="ET230" s="3">
        <f t="shared" si="198"/>
        <v>0</v>
      </c>
      <c r="EU230" s="3">
        <f t="shared" si="198"/>
        <v>0</v>
      </c>
      <c r="EV230" s="3">
        <f t="shared" si="198"/>
        <v>0</v>
      </c>
      <c r="EW230" s="3">
        <f t="shared" si="198"/>
        <v>0</v>
      </c>
      <c r="EX230" s="3">
        <f t="shared" si="198"/>
        <v>0</v>
      </c>
      <c r="EY230" s="3">
        <f t="shared" si="198"/>
        <v>0</v>
      </c>
      <c r="EZ230" s="3">
        <f t="shared" si="198"/>
        <v>0</v>
      </c>
      <c r="FA230" s="3">
        <f t="shared" si="198"/>
        <v>0</v>
      </c>
      <c r="FB230" s="3">
        <f t="shared" si="198"/>
        <v>0</v>
      </c>
      <c r="FC230" s="3">
        <f t="shared" si="198"/>
        <v>0</v>
      </c>
      <c r="FD230" s="3">
        <f t="shared" si="198"/>
        <v>0</v>
      </c>
      <c r="FE230" s="3">
        <f t="shared" si="198"/>
        <v>0</v>
      </c>
      <c r="FF230" s="3">
        <f t="shared" si="198"/>
        <v>0</v>
      </c>
      <c r="FG230" s="3">
        <f t="shared" si="198"/>
        <v>0</v>
      </c>
      <c r="FH230" s="3">
        <f t="shared" si="198"/>
        <v>0</v>
      </c>
      <c r="FI230" s="3">
        <f t="shared" si="198"/>
        <v>0</v>
      </c>
      <c r="FJ230" s="3">
        <f t="shared" si="198"/>
        <v>0</v>
      </c>
      <c r="FK230" s="3">
        <f t="shared" si="198"/>
        <v>0</v>
      </c>
      <c r="FL230" s="3">
        <f t="shared" si="198"/>
        <v>0</v>
      </c>
      <c r="FM230" s="3">
        <f t="shared" si="198"/>
        <v>0</v>
      </c>
      <c r="FN230" s="3">
        <f t="shared" si="198"/>
        <v>0</v>
      </c>
      <c r="FO230" s="3">
        <f t="shared" si="198"/>
        <v>0</v>
      </c>
      <c r="FP230" s="3">
        <f t="shared" si="198"/>
        <v>0</v>
      </c>
      <c r="FQ230" s="3">
        <f t="shared" si="198"/>
        <v>0</v>
      </c>
      <c r="FR230" s="3">
        <f t="shared" si="198"/>
        <v>0</v>
      </c>
      <c r="FS230" s="3">
        <f t="shared" ref="FS230:GX230" si="199">FS272</f>
        <v>0</v>
      </c>
      <c r="FT230" s="3">
        <f t="shared" si="199"/>
        <v>0</v>
      </c>
      <c r="FU230" s="3">
        <f t="shared" si="199"/>
        <v>0</v>
      </c>
      <c r="FV230" s="3">
        <f t="shared" si="199"/>
        <v>0</v>
      </c>
      <c r="FW230" s="3">
        <f t="shared" si="199"/>
        <v>0</v>
      </c>
      <c r="FX230" s="3">
        <f t="shared" si="199"/>
        <v>0</v>
      </c>
      <c r="FY230" s="3">
        <f t="shared" si="199"/>
        <v>0</v>
      </c>
      <c r="FZ230" s="3">
        <f t="shared" si="199"/>
        <v>0</v>
      </c>
      <c r="GA230" s="3">
        <f t="shared" si="199"/>
        <v>0</v>
      </c>
      <c r="GB230" s="3">
        <f t="shared" si="199"/>
        <v>0</v>
      </c>
      <c r="GC230" s="3">
        <f t="shared" si="199"/>
        <v>0</v>
      </c>
      <c r="GD230" s="3">
        <f t="shared" si="199"/>
        <v>0</v>
      </c>
      <c r="GE230" s="3">
        <f t="shared" si="199"/>
        <v>0</v>
      </c>
      <c r="GF230" s="3">
        <f t="shared" si="199"/>
        <v>0</v>
      </c>
      <c r="GG230" s="3">
        <f t="shared" si="199"/>
        <v>0</v>
      </c>
      <c r="GH230" s="3">
        <f t="shared" si="199"/>
        <v>0</v>
      </c>
      <c r="GI230" s="3">
        <f t="shared" si="199"/>
        <v>0</v>
      </c>
      <c r="GJ230" s="3">
        <f t="shared" si="199"/>
        <v>0</v>
      </c>
      <c r="GK230" s="3">
        <f t="shared" si="199"/>
        <v>0</v>
      </c>
      <c r="GL230" s="3">
        <f t="shared" si="199"/>
        <v>0</v>
      </c>
      <c r="GM230" s="3">
        <f t="shared" si="199"/>
        <v>0</v>
      </c>
      <c r="GN230" s="3">
        <f t="shared" si="199"/>
        <v>0</v>
      </c>
      <c r="GO230" s="3">
        <f t="shared" si="199"/>
        <v>0</v>
      </c>
      <c r="GP230" s="3">
        <f t="shared" si="199"/>
        <v>0</v>
      </c>
      <c r="GQ230" s="3">
        <f t="shared" si="199"/>
        <v>0</v>
      </c>
      <c r="GR230" s="3">
        <f t="shared" si="199"/>
        <v>0</v>
      </c>
      <c r="GS230" s="3">
        <f t="shared" si="199"/>
        <v>0</v>
      </c>
      <c r="GT230" s="3">
        <f t="shared" si="199"/>
        <v>0</v>
      </c>
      <c r="GU230" s="3">
        <f t="shared" si="199"/>
        <v>0</v>
      </c>
      <c r="GV230" s="3">
        <f t="shared" si="199"/>
        <v>0</v>
      </c>
      <c r="GW230" s="3">
        <f t="shared" si="199"/>
        <v>0</v>
      </c>
      <c r="GX230" s="3">
        <f t="shared" si="199"/>
        <v>0</v>
      </c>
    </row>
    <row r="232" spans="1:245" x14ac:dyDescent="0.2">
      <c r="A232">
        <v>17</v>
      </c>
      <c r="B232">
        <v>1</v>
      </c>
      <c r="C232">
        <f>ROW(SmtRes!A394)</f>
        <v>394</v>
      </c>
      <c r="D232">
        <f>ROW(EtalonRes!A366)</f>
        <v>366</v>
      </c>
      <c r="E232" t="s">
        <v>505</v>
      </c>
      <c r="F232" t="s">
        <v>506</v>
      </c>
      <c r="G232" t="s">
        <v>507</v>
      </c>
      <c r="H232" t="s">
        <v>424</v>
      </c>
      <c r="I232">
        <f>ROUND(1/100,9)</f>
        <v>0.01</v>
      </c>
      <c r="J232">
        <v>0</v>
      </c>
      <c r="O232">
        <f t="shared" ref="O232:O270" si="200">ROUND(CP232,2)</f>
        <v>19.329999999999998</v>
      </c>
      <c r="P232">
        <f t="shared" ref="P232:P270" si="201">ROUND(CQ232*I232,2)</f>
        <v>0</v>
      </c>
      <c r="Q232">
        <f t="shared" ref="Q232:Q270" si="202">ROUND(CR232*I232,2)</f>
        <v>0.13</v>
      </c>
      <c r="R232">
        <f t="shared" ref="R232:R270" si="203">ROUND(CS232*I232,2)</f>
        <v>0.06</v>
      </c>
      <c r="S232">
        <f t="shared" ref="S232:S270" si="204">ROUND(CT232*I232,2)</f>
        <v>19.2</v>
      </c>
      <c r="T232">
        <f t="shared" ref="T232:T270" si="205">ROUND(CU232*I232,2)</f>
        <v>0</v>
      </c>
      <c r="U232">
        <f t="shared" ref="U232:U270" si="206">CV232*I232</f>
        <v>0.36710000000000004</v>
      </c>
      <c r="V232">
        <f t="shared" ref="V232:V270" si="207">CW232*I232</f>
        <v>7.000000000000001E-4</v>
      </c>
      <c r="W232">
        <f t="shared" ref="W232:W270" si="208">ROUND(CX232*I232,2)</f>
        <v>0</v>
      </c>
      <c r="X232">
        <f t="shared" ref="X232:X270" si="209">ROUND(CY232,2)</f>
        <v>14.25</v>
      </c>
      <c r="Y232">
        <f t="shared" ref="Y232:Y270" si="210">ROUND(CZ232,2)</f>
        <v>9.6300000000000008</v>
      </c>
      <c r="AA232">
        <v>39476960</v>
      </c>
      <c r="AB232">
        <f t="shared" ref="AB232:AB270" si="211">ROUND((AC232+AD232+AF232),2)</f>
        <v>315.33</v>
      </c>
      <c r="AC232">
        <f t="shared" ref="AC232:AC270" si="212">ROUND((ES232),2)</f>
        <v>0</v>
      </c>
      <c r="AD232">
        <f>ROUND((((ET232)-(EU232))+AE232),2)</f>
        <v>2.19</v>
      </c>
      <c r="AE232">
        <f>ROUND((EU232),2)</f>
        <v>0.95</v>
      </c>
      <c r="AF232">
        <f>ROUND((EV232),2)</f>
        <v>313.14</v>
      </c>
      <c r="AG232">
        <f t="shared" ref="AG232:AG270" si="213">ROUND((AP232),2)</f>
        <v>0</v>
      </c>
      <c r="AH232">
        <f>(EW232)</f>
        <v>36.71</v>
      </c>
      <c r="AI232">
        <f>(EX232)</f>
        <v>7.0000000000000007E-2</v>
      </c>
      <c r="AJ232">
        <f t="shared" ref="AJ232:AJ270" si="214">ROUND((AS232),2)</f>
        <v>0</v>
      </c>
      <c r="AK232">
        <v>315.33</v>
      </c>
      <c r="AL232">
        <v>0</v>
      </c>
      <c r="AM232">
        <v>2.19</v>
      </c>
      <c r="AN232">
        <v>0.95</v>
      </c>
      <c r="AO232">
        <v>313.14</v>
      </c>
      <c r="AP232">
        <v>0</v>
      </c>
      <c r="AQ232">
        <v>36.71</v>
      </c>
      <c r="AR232">
        <v>7.0000000000000007E-2</v>
      </c>
      <c r="AS232">
        <v>0</v>
      </c>
      <c r="AT232">
        <v>74</v>
      </c>
      <c r="AU232">
        <v>50</v>
      </c>
      <c r="AV232">
        <v>1</v>
      </c>
      <c r="AW232">
        <v>1</v>
      </c>
      <c r="AZ232">
        <v>6.13</v>
      </c>
      <c r="BA232">
        <v>6.13</v>
      </c>
      <c r="BB232">
        <v>6.13</v>
      </c>
      <c r="BC232">
        <v>6.13</v>
      </c>
      <c r="BD232" t="s">
        <v>3</v>
      </c>
      <c r="BE232" t="s">
        <v>3</v>
      </c>
      <c r="BF232" t="s">
        <v>3</v>
      </c>
      <c r="BG232" t="s">
        <v>3</v>
      </c>
      <c r="BH232">
        <v>0</v>
      </c>
      <c r="BI232">
        <v>1</v>
      </c>
      <c r="BJ232" t="s">
        <v>508</v>
      </c>
      <c r="BM232">
        <v>65001</v>
      </c>
      <c r="BN232">
        <v>0</v>
      </c>
      <c r="BO232" t="s">
        <v>3</v>
      </c>
      <c r="BP232">
        <v>0</v>
      </c>
      <c r="BQ232">
        <v>6</v>
      </c>
      <c r="BR232">
        <v>0</v>
      </c>
      <c r="BS232">
        <v>6.13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74</v>
      </c>
      <c r="CA232">
        <v>50</v>
      </c>
      <c r="CF232">
        <v>0</v>
      </c>
      <c r="CG232">
        <v>0</v>
      </c>
      <c r="CM232">
        <v>0</v>
      </c>
      <c r="CN232" t="s">
        <v>3</v>
      </c>
      <c r="CO232">
        <v>0</v>
      </c>
      <c r="CP232">
        <f t="shared" ref="CP232:CP270" si="215">(P232+Q232+S232)</f>
        <v>19.329999999999998</v>
      </c>
      <c r="CQ232">
        <f t="shared" ref="CQ232:CQ270" si="216">AC232*BC232</f>
        <v>0</v>
      </c>
      <c r="CR232">
        <f t="shared" ref="CR232:CR270" si="217">AD232*BB232</f>
        <v>13.4247</v>
      </c>
      <c r="CS232">
        <f t="shared" ref="CS232:CS270" si="218">AE232*BS232</f>
        <v>5.8234999999999992</v>
      </c>
      <c r="CT232">
        <f t="shared" ref="CT232:CT270" si="219">AF232*BA232</f>
        <v>1919.5482</v>
      </c>
      <c r="CU232">
        <f t="shared" ref="CU232:CU270" si="220">AG232</f>
        <v>0</v>
      </c>
      <c r="CV232">
        <f t="shared" ref="CV232:CV270" si="221">AH232</f>
        <v>36.71</v>
      </c>
      <c r="CW232">
        <f t="shared" ref="CW232:CW270" si="222">AI232</f>
        <v>7.0000000000000007E-2</v>
      </c>
      <c r="CX232">
        <f t="shared" ref="CX232:CX270" si="223">AJ232</f>
        <v>0</v>
      </c>
      <c r="CY232">
        <f t="shared" ref="CY232:CY270" si="224">(((S232+R232)*AT232)/100)</f>
        <v>14.252399999999998</v>
      </c>
      <c r="CZ232">
        <f t="shared" ref="CZ232:CZ270" si="225">(((S232+R232)*AU232)/100)</f>
        <v>9.629999999999999</v>
      </c>
      <c r="DC232" t="s">
        <v>3</v>
      </c>
      <c r="DD232" t="s">
        <v>3</v>
      </c>
      <c r="DE232" t="s">
        <v>3</v>
      </c>
      <c r="DF232" t="s">
        <v>3</v>
      </c>
      <c r="DG232" t="s">
        <v>3</v>
      </c>
      <c r="DH232" t="s">
        <v>3</v>
      </c>
      <c r="DI232" t="s">
        <v>3</v>
      </c>
      <c r="DJ232" t="s">
        <v>3</v>
      </c>
      <c r="DK232" t="s">
        <v>3</v>
      </c>
      <c r="DL232" t="s">
        <v>3</v>
      </c>
      <c r="DM232" t="s">
        <v>3</v>
      </c>
      <c r="DN232">
        <v>0</v>
      </c>
      <c r="DO232">
        <v>0</v>
      </c>
      <c r="DP232">
        <v>1</v>
      </c>
      <c r="DQ232">
        <v>1</v>
      </c>
      <c r="DU232">
        <v>1013</v>
      </c>
      <c r="DV232" t="s">
        <v>424</v>
      </c>
      <c r="DW232" t="s">
        <v>424</v>
      </c>
      <c r="DX232">
        <v>1</v>
      </c>
      <c r="EE232">
        <v>39174590</v>
      </c>
      <c r="EF232">
        <v>6</v>
      </c>
      <c r="EG232" t="s">
        <v>19</v>
      </c>
      <c r="EH232">
        <v>0</v>
      </c>
      <c r="EI232" t="s">
        <v>3</v>
      </c>
      <c r="EJ232">
        <v>1</v>
      </c>
      <c r="EK232">
        <v>65001</v>
      </c>
      <c r="EL232" t="s">
        <v>509</v>
      </c>
      <c r="EM232" t="s">
        <v>510</v>
      </c>
      <c r="EO232" t="s">
        <v>3</v>
      </c>
      <c r="EQ232">
        <v>0</v>
      </c>
      <c r="ER232">
        <v>315.33</v>
      </c>
      <c r="ES232">
        <v>0</v>
      </c>
      <c r="ET232">
        <v>2.19</v>
      </c>
      <c r="EU232">
        <v>0.95</v>
      </c>
      <c r="EV232">
        <v>313.14</v>
      </c>
      <c r="EW232">
        <v>36.71</v>
      </c>
      <c r="EX232">
        <v>7.0000000000000007E-2</v>
      </c>
      <c r="EY232">
        <v>0</v>
      </c>
      <c r="FQ232">
        <v>0</v>
      </c>
      <c r="FR232">
        <f t="shared" ref="FR232:FR270" si="226">ROUND(IF(AND(BH232=3,BI232=3),P232,0),2)</f>
        <v>0</v>
      </c>
      <c r="FS232">
        <v>0</v>
      </c>
      <c r="FX232">
        <v>74</v>
      </c>
      <c r="FY232">
        <v>50</v>
      </c>
      <c r="GA232" t="s">
        <v>3</v>
      </c>
      <c r="GD232">
        <v>0</v>
      </c>
      <c r="GF232">
        <v>2129386662</v>
      </c>
      <c r="GG232">
        <v>1</v>
      </c>
      <c r="GH232">
        <v>1</v>
      </c>
      <c r="GI232">
        <v>4</v>
      </c>
      <c r="GJ232">
        <v>0</v>
      </c>
      <c r="GK232">
        <f>ROUND(R232*(R12)/100,2)</f>
        <v>0</v>
      </c>
      <c r="GL232">
        <f t="shared" ref="GL232:GL270" si="227">ROUND(IF(AND(BH232=3,BI232=3,FS232&lt;&gt;0),P232,0),2)</f>
        <v>0</v>
      </c>
      <c r="GM232">
        <f t="shared" ref="GM232:GM270" si="228">ROUND(O232+X232+Y232+GK232,2)+GX232</f>
        <v>43.21</v>
      </c>
      <c r="GN232">
        <f t="shared" ref="GN232:GN270" si="229">IF(OR(BI232=0,BI232=1),ROUND(O232+X232+Y232+GK232,2),0)</f>
        <v>43.21</v>
      </c>
      <c r="GO232">
        <f t="shared" ref="GO232:GO270" si="230">IF(BI232=2,ROUND(O232+X232+Y232+GK232,2),0)</f>
        <v>0</v>
      </c>
      <c r="GP232">
        <f t="shared" ref="GP232:GP270" si="231">IF(BI232=4,ROUND(O232+X232+Y232+GK232,2)+GX232,0)</f>
        <v>0</v>
      </c>
      <c r="GR232">
        <v>0</v>
      </c>
      <c r="GS232">
        <v>3</v>
      </c>
      <c r="GT232">
        <v>0</v>
      </c>
      <c r="GU232" t="s">
        <v>3</v>
      </c>
      <c r="GV232">
        <f t="shared" ref="GV232:GV270" si="232">ROUND(GT232,2)</f>
        <v>0</v>
      </c>
      <c r="GW232">
        <v>1</v>
      </c>
      <c r="GX232">
        <f t="shared" ref="GX232:GX270" si="233">ROUND(GV232*GW232*I232,2)</f>
        <v>0</v>
      </c>
      <c r="HA232">
        <v>0</v>
      </c>
      <c r="HB232">
        <v>0</v>
      </c>
      <c r="IK232">
        <v>0</v>
      </c>
    </row>
    <row r="233" spans="1:245" x14ac:dyDescent="0.2">
      <c r="A233">
        <v>17</v>
      </c>
      <c r="B233">
        <v>1</v>
      </c>
      <c r="C233">
        <f>ROW(SmtRes!A397)</f>
        <v>397</v>
      </c>
      <c r="D233">
        <f>ROW(EtalonRes!A370)</f>
        <v>370</v>
      </c>
      <c r="E233" t="s">
        <v>511</v>
      </c>
      <c r="F233" t="s">
        <v>512</v>
      </c>
      <c r="G233" t="s">
        <v>513</v>
      </c>
      <c r="H233" t="s">
        <v>424</v>
      </c>
      <c r="I233">
        <f>ROUND(1/100,9)</f>
        <v>0.01</v>
      </c>
      <c r="J233">
        <v>0</v>
      </c>
      <c r="O233">
        <f t="shared" si="200"/>
        <v>27.32</v>
      </c>
      <c r="P233">
        <f t="shared" si="201"/>
        <v>0</v>
      </c>
      <c r="Q233">
        <f t="shared" si="202"/>
        <v>0.5</v>
      </c>
      <c r="R233">
        <f t="shared" si="203"/>
        <v>0.22</v>
      </c>
      <c r="S233">
        <f t="shared" si="204"/>
        <v>26.82</v>
      </c>
      <c r="T233">
        <f t="shared" si="205"/>
        <v>0</v>
      </c>
      <c r="U233">
        <f t="shared" si="206"/>
        <v>0.51300000000000001</v>
      </c>
      <c r="V233">
        <f t="shared" si="207"/>
        <v>2.6000000000000003E-3</v>
      </c>
      <c r="W233">
        <f t="shared" si="208"/>
        <v>0</v>
      </c>
      <c r="X233">
        <f t="shared" si="209"/>
        <v>20.010000000000002</v>
      </c>
      <c r="Y233">
        <f t="shared" si="210"/>
        <v>13.52</v>
      </c>
      <c r="AA233">
        <v>39476960</v>
      </c>
      <c r="AB233">
        <f t="shared" si="211"/>
        <v>445.72</v>
      </c>
      <c r="AC233">
        <f t="shared" si="212"/>
        <v>0</v>
      </c>
      <c r="AD233">
        <f>ROUND((((ET233)-(EU233))+AE233),2)</f>
        <v>8.1300000000000008</v>
      </c>
      <c r="AE233">
        <f>ROUND((EU233),2)</f>
        <v>3.51</v>
      </c>
      <c r="AF233">
        <f>ROUND((EV233),2)</f>
        <v>437.59</v>
      </c>
      <c r="AG233">
        <f t="shared" si="213"/>
        <v>0</v>
      </c>
      <c r="AH233">
        <f>(EW233)</f>
        <v>51.3</v>
      </c>
      <c r="AI233">
        <f>(EX233)</f>
        <v>0.26</v>
      </c>
      <c r="AJ233">
        <f t="shared" si="214"/>
        <v>0</v>
      </c>
      <c r="AK233">
        <v>445.72</v>
      </c>
      <c r="AL233">
        <v>0</v>
      </c>
      <c r="AM233">
        <v>8.1300000000000008</v>
      </c>
      <c r="AN233">
        <v>3.51</v>
      </c>
      <c r="AO233">
        <v>437.59</v>
      </c>
      <c r="AP233">
        <v>0</v>
      </c>
      <c r="AQ233">
        <v>51.3</v>
      </c>
      <c r="AR233">
        <v>0.26</v>
      </c>
      <c r="AS233">
        <v>0</v>
      </c>
      <c r="AT233">
        <v>74</v>
      </c>
      <c r="AU233">
        <v>50</v>
      </c>
      <c r="AV233">
        <v>1</v>
      </c>
      <c r="AW233">
        <v>1</v>
      </c>
      <c r="AZ233">
        <v>6.13</v>
      </c>
      <c r="BA233">
        <v>6.13</v>
      </c>
      <c r="BB233">
        <v>6.13</v>
      </c>
      <c r="BC233">
        <v>6.13</v>
      </c>
      <c r="BD233" t="s">
        <v>3</v>
      </c>
      <c r="BE233" t="s">
        <v>3</v>
      </c>
      <c r="BF233" t="s">
        <v>3</v>
      </c>
      <c r="BG233" t="s">
        <v>3</v>
      </c>
      <c r="BH233">
        <v>0</v>
      </c>
      <c r="BI233">
        <v>1</v>
      </c>
      <c r="BJ233" t="s">
        <v>514</v>
      </c>
      <c r="BM233">
        <v>65001</v>
      </c>
      <c r="BN233">
        <v>0</v>
      </c>
      <c r="BO233" t="s">
        <v>3</v>
      </c>
      <c r="BP233">
        <v>0</v>
      </c>
      <c r="BQ233">
        <v>6</v>
      </c>
      <c r="BR233">
        <v>0</v>
      </c>
      <c r="BS233">
        <v>6.13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3</v>
      </c>
      <c r="BZ233">
        <v>74</v>
      </c>
      <c r="CA233">
        <v>50</v>
      </c>
      <c r="CF233">
        <v>0</v>
      </c>
      <c r="CG233">
        <v>0</v>
      </c>
      <c r="CM233">
        <v>0</v>
      </c>
      <c r="CN233" t="s">
        <v>3</v>
      </c>
      <c r="CO233">
        <v>0</v>
      </c>
      <c r="CP233">
        <f t="shared" si="215"/>
        <v>27.32</v>
      </c>
      <c r="CQ233">
        <f t="shared" si="216"/>
        <v>0</v>
      </c>
      <c r="CR233">
        <f t="shared" si="217"/>
        <v>49.836900000000007</v>
      </c>
      <c r="CS233">
        <f t="shared" si="218"/>
        <v>21.516299999999998</v>
      </c>
      <c r="CT233">
        <f t="shared" si="219"/>
        <v>2682.4267</v>
      </c>
      <c r="CU233">
        <f t="shared" si="220"/>
        <v>0</v>
      </c>
      <c r="CV233">
        <f t="shared" si="221"/>
        <v>51.3</v>
      </c>
      <c r="CW233">
        <f t="shared" si="222"/>
        <v>0.26</v>
      </c>
      <c r="CX233">
        <f t="shared" si="223"/>
        <v>0</v>
      </c>
      <c r="CY233">
        <f t="shared" si="224"/>
        <v>20.009599999999999</v>
      </c>
      <c r="CZ233">
        <f t="shared" si="225"/>
        <v>13.52</v>
      </c>
      <c r="DC233" t="s">
        <v>3</v>
      </c>
      <c r="DD233" t="s">
        <v>3</v>
      </c>
      <c r="DE233" t="s">
        <v>3</v>
      </c>
      <c r="DF233" t="s">
        <v>3</v>
      </c>
      <c r="DG233" t="s">
        <v>3</v>
      </c>
      <c r="DH233" t="s">
        <v>3</v>
      </c>
      <c r="DI233" t="s">
        <v>3</v>
      </c>
      <c r="DJ233" t="s">
        <v>3</v>
      </c>
      <c r="DK233" t="s">
        <v>3</v>
      </c>
      <c r="DL233" t="s">
        <v>3</v>
      </c>
      <c r="DM233" t="s">
        <v>3</v>
      </c>
      <c r="DN233">
        <v>0</v>
      </c>
      <c r="DO233">
        <v>0</v>
      </c>
      <c r="DP233">
        <v>1</v>
      </c>
      <c r="DQ233">
        <v>1</v>
      </c>
      <c r="DU233">
        <v>1013</v>
      </c>
      <c r="DV233" t="s">
        <v>424</v>
      </c>
      <c r="DW233" t="s">
        <v>424</v>
      </c>
      <c r="DX233">
        <v>1</v>
      </c>
      <c r="EE233">
        <v>39174590</v>
      </c>
      <c r="EF233">
        <v>6</v>
      </c>
      <c r="EG233" t="s">
        <v>19</v>
      </c>
      <c r="EH233">
        <v>0</v>
      </c>
      <c r="EI233" t="s">
        <v>3</v>
      </c>
      <c r="EJ233">
        <v>1</v>
      </c>
      <c r="EK233">
        <v>65001</v>
      </c>
      <c r="EL233" t="s">
        <v>509</v>
      </c>
      <c r="EM233" t="s">
        <v>510</v>
      </c>
      <c r="EO233" t="s">
        <v>3</v>
      </c>
      <c r="EQ233">
        <v>0</v>
      </c>
      <c r="ER233">
        <v>445.72</v>
      </c>
      <c r="ES233">
        <v>0</v>
      </c>
      <c r="ET233">
        <v>8.1300000000000008</v>
      </c>
      <c r="EU233">
        <v>3.51</v>
      </c>
      <c r="EV233">
        <v>437.59</v>
      </c>
      <c r="EW233">
        <v>51.3</v>
      </c>
      <c r="EX233">
        <v>0.26</v>
      </c>
      <c r="EY233">
        <v>0</v>
      </c>
      <c r="FQ233">
        <v>0</v>
      </c>
      <c r="FR233">
        <f t="shared" si="226"/>
        <v>0</v>
      </c>
      <c r="FS233">
        <v>0</v>
      </c>
      <c r="FX233">
        <v>74</v>
      </c>
      <c r="FY233">
        <v>50</v>
      </c>
      <c r="GA233" t="s">
        <v>3</v>
      </c>
      <c r="GD233">
        <v>0</v>
      </c>
      <c r="GF233">
        <v>-869396583</v>
      </c>
      <c r="GG233">
        <v>1</v>
      </c>
      <c r="GH233">
        <v>1</v>
      </c>
      <c r="GI233">
        <v>4</v>
      </c>
      <c r="GJ233">
        <v>0</v>
      </c>
      <c r="GK233">
        <f>ROUND(R233*(R12)/100,2)</f>
        <v>0</v>
      </c>
      <c r="GL233">
        <f t="shared" si="227"/>
        <v>0</v>
      </c>
      <c r="GM233">
        <f t="shared" si="228"/>
        <v>60.85</v>
      </c>
      <c r="GN233">
        <f t="shared" si="229"/>
        <v>60.85</v>
      </c>
      <c r="GO233">
        <f t="shared" si="230"/>
        <v>0</v>
      </c>
      <c r="GP233">
        <f t="shared" si="231"/>
        <v>0</v>
      </c>
      <c r="GR233">
        <v>0</v>
      </c>
      <c r="GS233">
        <v>3</v>
      </c>
      <c r="GT233">
        <v>0</v>
      </c>
      <c r="GU233" t="s">
        <v>3</v>
      </c>
      <c r="GV233">
        <f t="shared" si="232"/>
        <v>0</v>
      </c>
      <c r="GW233">
        <v>1</v>
      </c>
      <c r="GX233">
        <f t="shared" si="233"/>
        <v>0</v>
      </c>
      <c r="HA233">
        <v>0</v>
      </c>
      <c r="HB233">
        <v>0</v>
      </c>
      <c r="IK233">
        <v>0</v>
      </c>
    </row>
    <row r="234" spans="1:245" x14ac:dyDescent="0.2">
      <c r="A234">
        <v>17</v>
      </c>
      <c r="B234">
        <v>1</v>
      </c>
      <c r="C234">
        <f>ROW(SmtRes!A414)</f>
        <v>414</v>
      </c>
      <c r="D234">
        <f>ROW(EtalonRes!A387)</f>
        <v>387</v>
      </c>
      <c r="E234" t="s">
        <v>515</v>
      </c>
      <c r="F234" t="s">
        <v>516</v>
      </c>
      <c r="G234" t="s">
        <v>517</v>
      </c>
      <c r="H234" t="s">
        <v>69</v>
      </c>
      <c r="I234">
        <f>ROUND(140/100,9)</f>
        <v>1.4</v>
      </c>
      <c r="J234">
        <v>0</v>
      </c>
      <c r="O234">
        <f t="shared" si="200"/>
        <v>40304.5</v>
      </c>
      <c r="P234">
        <f t="shared" si="201"/>
        <v>479.56</v>
      </c>
      <c r="Q234">
        <f t="shared" si="202"/>
        <v>17474.75</v>
      </c>
      <c r="R234">
        <f t="shared" si="203"/>
        <v>2365.1999999999998</v>
      </c>
      <c r="S234">
        <f t="shared" si="204"/>
        <v>22350.19</v>
      </c>
      <c r="T234">
        <f t="shared" si="205"/>
        <v>0</v>
      </c>
      <c r="U234">
        <f t="shared" si="206"/>
        <v>367.54367999999994</v>
      </c>
      <c r="V234">
        <f t="shared" si="207"/>
        <v>28.643999999999998</v>
      </c>
      <c r="W234">
        <f t="shared" si="208"/>
        <v>0</v>
      </c>
      <c r="X234">
        <f t="shared" si="209"/>
        <v>28422.7</v>
      </c>
      <c r="Y234">
        <f t="shared" si="210"/>
        <v>17547.93</v>
      </c>
      <c r="AA234">
        <v>39476960</v>
      </c>
      <c r="AB234">
        <f t="shared" si="211"/>
        <v>4696.3999999999996</v>
      </c>
      <c r="AC234">
        <f t="shared" si="212"/>
        <v>55.88</v>
      </c>
      <c r="AD234">
        <f>ROUND((((((ET234*1.25)*1.2))-(((EU234*1.25)*1.2)))+AE234),2)</f>
        <v>2036.21</v>
      </c>
      <c r="AE234">
        <f>ROUND((((EU234*1.25)*1.2)),2)</f>
        <v>275.60000000000002</v>
      </c>
      <c r="AF234">
        <f>ROUND((((EV234*1.15)*1.2)),2)</f>
        <v>2604.31</v>
      </c>
      <c r="AG234">
        <f t="shared" si="213"/>
        <v>0</v>
      </c>
      <c r="AH234">
        <f>(((EW234*1.15)*1.2))</f>
        <v>262.53119999999996</v>
      </c>
      <c r="AI234">
        <f>(((EX234*1.25)*1.2))</f>
        <v>20.46</v>
      </c>
      <c r="AJ234">
        <f t="shared" si="214"/>
        <v>0</v>
      </c>
      <c r="AK234">
        <v>3300.53</v>
      </c>
      <c r="AL234">
        <v>55.88</v>
      </c>
      <c r="AM234">
        <v>1357.47</v>
      </c>
      <c r="AN234">
        <v>183.73</v>
      </c>
      <c r="AO234">
        <v>1887.18</v>
      </c>
      <c r="AP234">
        <v>0</v>
      </c>
      <c r="AQ234">
        <v>190.24</v>
      </c>
      <c r="AR234">
        <v>13.64</v>
      </c>
      <c r="AS234">
        <v>0</v>
      </c>
      <c r="AT234">
        <v>115</v>
      </c>
      <c r="AU234">
        <v>71</v>
      </c>
      <c r="AV234">
        <v>1</v>
      </c>
      <c r="AW234">
        <v>1</v>
      </c>
      <c r="AZ234">
        <v>6.13</v>
      </c>
      <c r="BA234">
        <v>6.13</v>
      </c>
      <c r="BB234">
        <v>6.13</v>
      </c>
      <c r="BC234">
        <v>6.13</v>
      </c>
      <c r="BD234" t="s">
        <v>3</v>
      </c>
      <c r="BE234" t="s">
        <v>3</v>
      </c>
      <c r="BF234" t="s">
        <v>3</v>
      </c>
      <c r="BG234" t="s">
        <v>3</v>
      </c>
      <c r="BH234">
        <v>0</v>
      </c>
      <c r="BI234">
        <v>1</v>
      </c>
      <c r="BJ234" t="s">
        <v>518</v>
      </c>
      <c r="BM234">
        <v>16001</v>
      </c>
      <c r="BN234">
        <v>0</v>
      </c>
      <c r="BO234" t="s">
        <v>3</v>
      </c>
      <c r="BP234">
        <v>0</v>
      </c>
      <c r="BQ234">
        <v>2</v>
      </c>
      <c r="BR234">
        <v>0</v>
      </c>
      <c r="BS234">
        <v>6.13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128</v>
      </c>
      <c r="CA234">
        <v>83</v>
      </c>
      <c r="CF234">
        <v>0</v>
      </c>
      <c r="CG234">
        <v>0</v>
      </c>
      <c r="CM234">
        <v>0</v>
      </c>
      <c r="CN234" t="s">
        <v>1274</v>
      </c>
      <c r="CO234">
        <v>0</v>
      </c>
      <c r="CP234">
        <f t="shared" si="215"/>
        <v>40304.5</v>
      </c>
      <c r="CQ234">
        <f t="shared" si="216"/>
        <v>342.5444</v>
      </c>
      <c r="CR234">
        <f t="shared" si="217"/>
        <v>12481.9673</v>
      </c>
      <c r="CS234">
        <f t="shared" si="218"/>
        <v>1689.4280000000001</v>
      </c>
      <c r="CT234">
        <f t="shared" si="219"/>
        <v>15964.4203</v>
      </c>
      <c r="CU234">
        <f t="shared" si="220"/>
        <v>0</v>
      </c>
      <c r="CV234">
        <f t="shared" si="221"/>
        <v>262.53119999999996</v>
      </c>
      <c r="CW234">
        <f t="shared" si="222"/>
        <v>20.46</v>
      </c>
      <c r="CX234">
        <f t="shared" si="223"/>
        <v>0</v>
      </c>
      <c r="CY234">
        <f t="shared" si="224"/>
        <v>28422.698500000002</v>
      </c>
      <c r="CZ234">
        <f t="shared" si="225"/>
        <v>17547.926899999999</v>
      </c>
      <c r="DC234" t="s">
        <v>3</v>
      </c>
      <c r="DD234" t="s">
        <v>3</v>
      </c>
      <c r="DE234" t="s">
        <v>53</v>
      </c>
      <c r="DF234" t="s">
        <v>53</v>
      </c>
      <c r="DG234" t="s">
        <v>54</v>
      </c>
      <c r="DH234" t="s">
        <v>3</v>
      </c>
      <c r="DI234" t="s">
        <v>54</v>
      </c>
      <c r="DJ234" t="s">
        <v>53</v>
      </c>
      <c r="DK234" t="s">
        <v>3</v>
      </c>
      <c r="DL234" t="s">
        <v>3</v>
      </c>
      <c r="DM234" t="s">
        <v>3</v>
      </c>
      <c r="DN234">
        <v>0</v>
      </c>
      <c r="DO234">
        <v>0</v>
      </c>
      <c r="DP234">
        <v>1</v>
      </c>
      <c r="DQ234">
        <v>1</v>
      </c>
      <c r="DU234">
        <v>1003</v>
      </c>
      <c r="DV234" t="s">
        <v>69</v>
      </c>
      <c r="DW234" t="s">
        <v>69</v>
      </c>
      <c r="DX234">
        <v>100</v>
      </c>
      <c r="EE234">
        <v>39174530</v>
      </c>
      <c r="EF234">
        <v>2</v>
      </c>
      <c r="EG234" t="s">
        <v>13</v>
      </c>
      <c r="EH234">
        <v>0</v>
      </c>
      <c r="EI234" t="s">
        <v>3</v>
      </c>
      <c r="EJ234">
        <v>1</v>
      </c>
      <c r="EK234">
        <v>16001</v>
      </c>
      <c r="EL234" t="s">
        <v>519</v>
      </c>
      <c r="EM234" t="s">
        <v>520</v>
      </c>
      <c r="EO234" t="s">
        <v>89</v>
      </c>
      <c r="EQ234">
        <v>0</v>
      </c>
      <c r="ER234">
        <v>3300.53</v>
      </c>
      <c r="ES234">
        <v>55.88</v>
      </c>
      <c r="ET234">
        <v>1357.47</v>
      </c>
      <c r="EU234">
        <v>183.73</v>
      </c>
      <c r="EV234">
        <v>1887.18</v>
      </c>
      <c r="EW234">
        <v>190.24</v>
      </c>
      <c r="EX234">
        <v>13.64</v>
      </c>
      <c r="EY234">
        <v>0</v>
      </c>
      <c r="FQ234">
        <v>0</v>
      </c>
      <c r="FR234">
        <f t="shared" si="226"/>
        <v>0</v>
      </c>
      <c r="FS234">
        <v>0</v>
      </c>
      <c r="FT234" t="s">
        <v>29</v>
      </c>
      <c r="FU234" t="s">
        <v>30</v>
      </c>
      <c r="FX234">
        <v>115.2</v>
      </c>
      <c r="FY234">
        <v>70.55</v>
      </c>
      <c r="GA234" t="s">
        <v>3</v>
      </c>
      <c r="GD234">
        <v>0</v>
      </c>
      <c r="GF234">
        <v>920855211</v>
      </c>
      <c r="GG234">
        <v>1</v>
      </c>
      <c r="GH234">
        <v>1</v>
      </c>
      <c r="GI234">
        <v>4</v>
      </c>
      <c r="GJ234">
        <v>0</v>
      </c>
      <c r="GK234">
        <f>ROUND(R234*(R12)/100,2)</f>
        <v>0</v>
      </c>
      <c r="GL234">
        <f t="shared" si="227"/>
        <v>0</v>
      </c>
      <c r="GM234">
        <f t="shared" si="228"/>
        <v>86275.13</v>
      </c>
      <c r="GN234">
        <f t="shared" si="229"/>
        <v>86275.13</v>
      </c>
      <c r="GO234">
        <f t="shared" si="230"/>
        <v>0</v>
      </c>
      <c r="GP234">
        <f t="shared" si="231"/>
        <v>0</v>
      </c>
      <c r="GR234">
        <v>0</v>
      </c>
      <c r="GS234">
        <v>3</v>
      </c>
      <c r="GT234">
        <v>0</v>
      </c>
      <c r="GU234" t="s">
        <v>3</v>
      </c>
      <c r="GV234">
        <f t="shared" si="232"/>
        <v>0</v>
      </c>
      <c r="GW234">
        <v>1</v>
      </c>
      <c r="GX234">
        <f t="shared" si="233"/>
        <v>0</v>
      </c>
      <c r="HA234">
        <v>0</v>
      </c>
      <c r="HB234">
        <v>0</v>
      </c>
      <c r="IK234">
        <v>0</v>
      </c>
    </row>
    <row r="235" spans="1:245" x14ac:dyDescent="0.2">
      <c r="A235">
        <v>18</v>
      </c>
      <c r="B235">
        <v>1</v>
      </c>
      <c r="C235">
        <v>410</v>
      </c>
      <c r="E235" t="s">
        <v>521</v>
      </c>
      <c r="F235" t="s">
        <v>522</v>
      </c>
      <c r="G235" t="s">
        <v>523</v>
      </c>
      <c r="H235" t="s">
        <v>415</v>
      </c>
      <c r="I235">
        <f>I234*J235</f>
        <v>5.9999999999999991</v>
      </c>
      <c r="J235">
        <v>4.2857142857142856</v>
      </c>
      <c r="O235">
        <f t="shared" si="200"/>
        <v>577.80999999999995</v>
      </c>
      <c r="P235">
        <f t="shared" si="201"/>
        <v>577.80999999999995</v>
      </c>
      <c r="Q235">
        <f t="shared" si="202"/>
        <v>0</v>
      </c>
      <c r="R235">
        <f t="shared" si="203"/>
        <v>0</v>
      </c>
      <c r="S235">
        <f t="shared" si="204"/>
        <v>0</v>
      </c>
      <c r="T235">
        <f t="shared" si="205"/>
        <v>0</v>
      </c>
      <c r="U235">
        <f t="shared" si="206"/>
        <v>0</v>
      </c>
      <c r="V235">
        <f t="shared" si="207"/>
        <v>0</v>
      </c>
      <c r="W235">
        <f t="shared" si="208"/>
        <v>0</v>
      </c>
      <c r="X235">
        <f t="shared" si="209"/>
        <v>0</v>
      </c>
      <c r="Y235">
        <f t="shared" si="210"/>
        <v>0</v>
      </c>
      <c r="AA235">
        <v>39476960</v>
      </c>
      <c r="AB235">
        <f t="shared" si="211"/>
        <v>15.71</v>
      </c>
      <c r="AC235">
        <f t="shared" si="212"/>
        <v>15.71</v>
      </c>
      <c r="AD235">
        <f>ROUND((((ET235)-(EU235))+AE235),2)</f>
        <v>0</v>
      </c>
      <c r="AE235">
        <f t="shared" ref="AE235:AF239" si="234">ROUND((EU235),2)</f>
        <v>0</v>
      </c>
      <c r="AF235">
        <f t="shared" si="234"/>
        <v>0</v>
      </c>
      <c r="AG235">
        <f t="shared" si="213"/>
        <v>0</v>
      </c>
      <c r="AH235">
        <f t="shared" ref="AH235:AI239" si="235">(EW235)</f>
        <v>0</v>
      </c>
      <c r="AI235">
        <f t="shared" si="235"/>
        <v>0</v>
      </c>
      <c r="AJ235">
        <f t="shared" si="214"/>
        <v>0</v>
      </c>
      <c r="AK235">
        <v>15.71</v>
      </c>
      <c r="AL235">
        <v>15.71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115</v>
      </c>
      <c r="AU235">
        <v>71</v>
      </c>
      <c r="AV235">
        <v>1</v>
      </c>
      <c r="AW235">
        <v>1</v>
      </c>
      <c r="AZ235">
        <v>6.13</v>
      </c>
      <c r="BA235">
        <v>1</v>
      </c>
      <c r="BB235">
        <v>1</v>
      </c>
      <c r="BC235">
        <v>6.13</v>
      </c>
      <c r="BD235" t="s">
        <v>3</v>
      </c>
      <c r="BE235" t="s">
        <v>3</v>
      </c>
      <c r="BF235" t="s">
        <v>3</v>
      </c>
      <c r="BG235" t="s">
        <v>3</v>
      </c>
      <c r="BH235">
        <v>3</v>
      </c>
      <c r="BI235">
        <v>1</v>
      </c>
      <c r="BJ235" t="s">
        <v>524</v>
      </c>
      <c r="BM235">
        <v>16001</v>
      </c>
      <c r="BN235">
        <v>0</v>
      </c>
      <c r="BO235" t="s">
        <v>3</v>
      </c>
      <c r="BP235">
        <v>0</v>
      </c>
      <c r="BQ235">
        <v>2</v>
      </c>
      <c r="BR235">
        <v>0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3</v>
      </c>
      <c r="BZ235">
        <v>128</v>
      </c>
      <c r="CA235">
        <v>83</v>
      </c>
      <c r="CF235">
        <v>0</v>
      </c>
      <c r="CG235">
        <v>0</v>
      </c>
      <c r="CM235">
        <v>0</v>
      </c>
      <c r="CN235" t="s">
        <v>3</v>
      </c>
      <c r="CO235">
        <v>0</v>
      </c>
      <c r="CP235">
        <f t="shared" si="215"/>
        <v>577.80999999999995</v>
      </c>
      <c r="CQ235">
        <f t="shared" si="216"/>
        <v>96.302300000000002</v>
      </c>
      <c r="CR235">
        <f t="shared" si="217"/>
        <v>0</v>
      </c>
      <c r="CS235">
        <f t="shared" si="218"/>
        <v>0</v>
      </c>
      <c r="CT235">
        <f t="shared" si="219"/>
        <v>0</v>
      </c>
      <c r="CU235">
        <f t="shared" si="220"/>
        <v>0</v>
      </c>
      <c r="CV235">
        <f t="shared" si="221"/>
        <v>0</v>
      </c>
      <c r="CW235">
        <f t="shared" si="222"/>
        <v>0</v>
      </c>
      <c r="CX235">
        <f t="shared" si="223"/>
        <v>0</v>
      </c>
      <c r="CY235">
        <f t="shared" si="224"/>
        <v>0</v>
      </c>
      <c r="CZ235">
        <f t="shared" si="225"/>
        <v>0</v>
      </c>
      <c r="DC235" t="s">
        <v>3</v>
      </c>
      <c r="DD235" t="s">
        <v>3</v>
      </c>
      <c r="DE235" t="s">
        <v>3</v>
      </c>
      <c r="DF235" t="s">
        <v>3</v>
      </c>
      <c r="DG235" t="s">
        <v>3</v>
      </c>
      <c r="DH235" t="s">
        <v>3</v>
      </c>
      <c r="DI235" t="s">
        <v>3</v>
      </c>
      <c r="DJ235" t="s">
        <v>3</v>
      </c>
      <c r="DK235" t="s">
        <v>3</v>
      </c>
      <c r="DL235" t="s">
        <v>3</v>
      </c>
      <c r="DM235" t="s">
        <v>3</v>
      </c>
      <c r="DN235">
        <v>0</v>
      </c>
      <c r="DO235">
        <v>0</v>
      </c>
      <c r="DP235">
        <v>1</v>
      </c>
      <c r="DQ235">
        <v>1</v>
      </c>
      <c r="DU235">
        <v>1010</v>
      </c>
      <c r="DV235" t="s">
        <v>415</v>
      </c>
      <c r="DW235" t="s">
        <v>415</v>
      </c>
      <c r="DX235">
        <v>1</v>
      </c>
      <c r="EE235">
        <v>39174530</v>
      </c>
      <c r="EF235">
        <v>2</v>
      </c>
      <c r="EG235" t="s">
        <v>13</v>
      </c>
      <c r="EH235">
        <v>0</v>
      </c>
      <c r="EI235" t="s">
        <v>3</v>
      </c>
      <c r="EJ235">
        <v>1</v>
      </c>
      <c r="EK235">
        <v>16001</v>
      </c>
      <c r="EL235" t="s">
        <v>519</v>
      </c>
      <c r="EM235" t="s">
        <v>520</v>
      </c>
      <c r="EO235" t="s">
        <v>3</v>
      </c>
      <c r="EQ235">
        <v>0</v>
      </c>
      <c r="ER235">
        <v>15.71</v>
      </c>
      <c r="ES235">
        <v>15.71</v>
      </c>
      <c r="ET235">
        <v>0</v>
      </c>
      <c r="EU235">
        <v>0</v>
      </c>
      <c r="EV235">
        <v>0</v>
      </c>
      <c r="EW235">
        <v>0</v>
      </c>
      <c r="EX235">
        <v>0</v>
      </c>
      <c r="FQ235">
        <v>0</v>
      </c>
      <c r="FR235">
        <f t="shared" si="226"/>
        <v>0</v>
      </c>
      <c r="FS235">
        <v>0</v>
      </c>
      <c r="FT235" t="s">
        <v>29</v>
      </c>
      <c r="FU235" t="s">
        <v>30</v>
      </c>
      <c r="FX235">
        <v>115.2</v>
      </c>
      <c r="FY235">
        <v>70.55</v>
      </c>
      <c r="GA235" t="s">
        <v>3</v>
      </c>
      <c r="GD235">
        <v>0</v>
      </c>
      <c r="GF235">
        <v>-1159073890</v>
      </c>
      <c r="GG235">
        <v>1</v>
      </c>
      <c r="GH235">
        <v>1</v>
      </c>
      <c r="GI235">
        <v>4</v>
      </c>
      <c r="GJ235">
        <v>0</v>
      </c>
      <c r="GK235">
        <f>ROUND(R235*(R12)/100,2)</f>
        <v>0</v>
      </c>
      <c r="GL235">
        <f t="shared" si="227"/>
        <v>0</v>
      </c>
      <c r="GM235">
        <f t="shared" si="228"/>
        <v>577.80999999999995</v>
      </c>
      <c r="GN235">
        <f t="shared" si="229"/>
        <v>577.80999999999995</v>
      </c>
      <c r="GO235">
        <f t="shared" si="230"/>
        <v>0</v>
      </c>
      <c r="GP235">
        <f t="shared" si="231"/>
        <v>0</v>
      </c>
      <c r="GR235">
        <v>0</v>
      </c>
      <c r="GS235">
        <v>3</v>
      </c>
      <c r="GT235">
        <v>0</v>
      </c>
      <c r="GU235" t="s">
        <v>3</v>
      </c>
      <c r="GV235">
        <f t="shared" si="232"/>
        <v>0</v>
      </c>
      <c r="GW235">
        <v>1</v>
      </c>
      <c r="GX235">
        <f t="shared" si="233"/>
        <v>0</v>
      </c>
      <c r="HA235">
        <v>0</v>
      </c>
      <c r="HB235">
        <v>0</v>
      </c>
      <c r="IK235">
        <v>0</v>
      </c>
    </row>
    <row r="236" spans="1:245" x14ac:dyDescent="0.2">
      <c r="A236">
        <v>18</v>
      </c>
      <c r="B236">
        <v>1</v>
      </c>
      <c r="C236">
        <v>411</v>
      </c>
      <c r="E236" t="s">
        <v>525</v>
      </c>
      <c r="F236" t="s">
        <v>526</v>
      </c>
      <c r="G236" t="s">
        <v>527</v>
      </c>
      <c r="H236" t="s">
        <v>415</v>
      </c>
      <c r="I236">
        <f>I234*J236</f>
        <v>5.9999999999999991</v>
      </c>
      <c r="J236">
        <v>4.2857142857142856</v>
      </c>
      <c r="O236">
        <f t="shared" si="200"/>
        <v>907.73</v>
      </c>
      <c r="P236">
        <f t="shared" si="201"/>
        <v>907.73</v>
      </c>
      <c r="Q236">
        <f t="shared" si="202"/>
        <v>0</v>
      </c>
      <c r="R236">
        <f t="shared" si="203"/>
        <v>0</v>
      </c>
      <c r="S236">
        <f t="shared" si="204"/>
        <v>0</v>
      </c>
      <c r="T236">
        <f t="shared" si="205"/>
        <v>0</v>
      </c>
      <c r="U236">
        <f t="shared" si="206"/>
        <v>0</v>
      </c>
      <c r="V236">
        <f t="shared" si="207"/>
        <v>0</v>
      </c>
      <c r="W236">
        <f t="shared" si="208"/>
        <v>0</v>
      </c>
      <c r="X236">
        <f t="shared" si="209"/>
        <v>0</v>
      </c>
      <c r="Y236">
        <f t="shared" si="210"/>
        <v>0</v>
      </c>
      <c r="AA236">
        <v>39476960</v>
      </c>
      <c r="AB236">
        <f t="shared" si="211"/>
        <v>24.68</v>
      </c>
      <c r="AC236">
        <f t="shared" si="212"/>
        <v>24.68</v>
      </c>
      <c r="AD236">
        <f>ROUND((((ET236)-(EU236))+AE236),2)</f>
        <v>0</v>
      </c>
      <c r="AE236">
        <f t="shared" si="234"/>
        <v>0</v>
      </c>
      <c r="AF236">
        <f t="shared" si="234"/>
        <v>0</v>
      </c>
      <c r="AG236">
        <f t="shared" si="213"/>
        <v>0</v>
      </c>
      <c r="AH236">
        <f t="shared" si="235"/>
        <v>0</v>
      </c>
      <c r="AI236">
        <f t="shared" si="235"/>
        <v>0</v>
      </c>
      <c r="AJ236">
        <f t="shared" si="214"/>
        <v>0</v>
      </c>
      <c r="AK236">
        <v>24.68</v>
      </c>
      <c r="AL236">
        <v>24.68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115</v>
      </c>
      <c r="AU236">
        <v>71</v>
      </c>
      <c r="AV236">
        <v>1</v>
      </c>
      <c r="AW236">
        <v>1</v>
      </c>
      <c r="AZ236">
        <v>6.13</v>
      </c>
      <c r="BA236">
        <v>1</v>
      </c>
      <c r="BB236">
        <v>1</v>
      </c>
      <c r="BC236">
        <v>6.13</v>
      </c>
      <c r="BD236" t="s">
        <v>3</v>
      </c>
      <c r="BE236" t="s">
        <v>3</v>
      </c>
      <c r="BF236" t="s">
        <v>3</v>
      </c>
      <c r="BG236" t="s">
        <v>3</v>
      </c>
      <c r="BH236">
        <v>3</v>
      </c>
      <c r="BI236">
        <v>1</v>
      </c>
      <c r="BJ236" t="s">
        <v>528</v>
      </c>
      <c r="BM236">
        <v>16001</v>
      </c>
      <c r="BN236">
        <v>0</v>
      </c>
      <c r="BO236" t="s">
        <v>3</v>
      </c>
      <c r="BP236">
        <v>0</v>
      </c>
      <c r="BQ236">
        <v>2</v>
      </c>
      <c r="BR236">
        <v>0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128</v>
      </c>
      <c r="CA236">
        <v>83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215"/>
        <v>907.73</v>
      </c>
      <c r="CQ236">
        <f t="shared" si="216"/>
        <v>151.2884</v>
      </c>
      <c r="CR236">
        <f t="shared" si="217"/>
        <v>0</v>
      </c>
      <c r="CS236">
        <f t="shared" si="218"/>
        <v>0</v>
      </c>
      <c r="CT236">
        <f t="shared" si="219"/>
        <v>0</v>
      </c>
      <c r="CU236">
        <f t="shared" si="220"/>
        <v>0</v>
      </c>
      <c r="CV236">
        <f t="shared" si="221"/>
        <v>0</v>
      </c>
      <c r="CW236">
        <f t="shared" si="222"/>
        <v>0</v>
      </c>
      <c r="CX236">
        <f t="shared" si="223"/>
        <v>0</v>
      </c>
      <c r="CY236">
        <f t="shared" si="224"/>
        <v>0</v>
      </c>
      <c r="CZ236">
        <f t="shared" si="225"/>
        <v>0</v>
      </c>
      <c r="DC236" t="s">
        <v>3</v>
      </c>
      <c r="DD236" t="s">
        <v>3</v>
      </c>
      <c r="DE236" t="s">
        <v>3</v>
      </c>
      <c r="DF236" t="s">
        <v>3</v>
      </c>
      <c r="DG236" t="s">
        <v>3</v>
      </c>
      <c r="DH236" t="s">
        <v>3</v>
      </c>
      <c r="DI236" t="s">
        <v>3</v>
      </c>
      <c r="DJ236" t="s">
        <v>3</v>
      </c>
      <c r="DK236" t="s">
        <v>3</v>
      </c>
      <c r="DL236" t="s">
        <v>3</v>
      </c>
      <c r="DM236" t="s">
        <v>3</v>
      </c>
      <c r="DN236">
        <v>0</v>
      </c>
      <c r="DO236">
        <v>0</v>
      </c>
      <c r="DP236">
        <v>1</v>
      </c>
      <c r="DQ236">
        <v>1</v>
      </c>
      <c r="DU236">
        <v>1010</v>
      </c>
      <c r="DV236" t="s">
        <v>415</v>
      </c>
      <c r="DW236" t="s">
        <v>415</v>
      </c>
      <c r="DX236">
        <v>1</v>
      </c>
      <c r="EE236">
        <v>39174530</v>
      </c>
      <c r="EF236">
        <v>2</v>
      </c>
      <c r="EG236" t="s">
        <v>13</v>
      </c>
      <c r="EH236">
        <v>0</v>
      </c>
      <c r="EI236" t="s">
        <v>3</v>
      </c>
      <c r="EJ236">
        <v>1</v>
      </c>
      <c r="EK236">
        <v>16001</v>
      </c>
      <c r="EL236" t="s">
        <v>519</v>
      </c>
      <c r="EM236" t="s">
        <v>520</v>
      </c>
      <c r="EO236" t="s">
        <v>3</v>
      </c>
      <c r="EQ236">
        <v>0</v>
      </c>
      <c r="ER236">
        <v>24.68</v>
      </c>
      <c r="ES236">
        <v>24.68</v>
      </c>
      <c r="ET236">
        <v>0</v>
      </c>
      <c r="EU236">
        <v>0</v>
      </c>
      <c r="EV236">
        <v>0</v>
      </c>
      <c r="EW236">
        <v>0</v>
      </c>
      <c r="EX236">
        <v>0</v>
      </c>
      <c r="FQ236">
        <v>0</v>
      </c>
      <c r="FR236">
        <f t="shared" si="226"/>
        <v>0</v>
      </c>
      <c r="FS236">
        <v>0</v>
      </c>
      <c r="FT236" t="s">
        <v>29</v>
      </c>
      <c r="FU236" t="s">
        <v>30</v>
      </c>
      <c r="FX236">
        <v>115.2</v>
      </c>
      <c r="FY236">
        <v>70.55</v>
      </c>
      <c r="GA236" t="s">
        <v>3</v>
      </c>
      <c r="GD236">
        <v>0</v>
      </c>
      <c r="GF236">
        <v>-22811250</v>
      </c>
      <c r="GG236">
        <v>1</v>
      </c>
      <c r="GH236">
        <v>1</v>
      </c>
      <c r="GI236">
        <v>4</v>
      </c>
      <c r="GJ236">
        <v>0</v>
      </c>
      <c r="GK236">
        <f>ROUND(R236*(R12)/100,2)</f>
        <v>0</v>
      </c>
      <c r="GL236">
        <f t="shared" si="227"/>
        <v>0</v>
      </c>
      <c r="GM236">
        <f t="shared" si="228"/>
        <v>907.73</v>
      </c>
      <c r="GN236">
        <f t="shared" si="229"/>
        <v>907.73</v>
      </c>
      <c r="GO236">
        <f t="shared" si="230"/>
        <v>0</v>
      </c>
      <c r="GP236">
        <f t="shared" si="231"/>
        <v>0</v>
      </c>
      <c r="GR236">
        <v>0</v>
      </c>
      <c r="GS236">
        <v>3</v>
      </c>
      <c r="GT236">
        <v>0</v>
      </c>
      <c r="GU236" t="s">
        <v>3</v>
      </c>
      <c r="GV236">
        <f t="shared" si="232"/>
        <v>0</v>
      </c>
      <c r="GW236">
        <v>1</v>
      </c>
      <c r="GX236">
        <f t="shared" si="233"/>
        <v>0</v>
      </c>
      <c r="HA236">
        <v>0</v>
      </c>
      <c r="HB236">
        <v>0</v>
      </c>
      <c r="IK236">
        <v>0</v>
      </c>
    </row>
    <row r="237" spans="1:245" x14ac:dyDescent="0.2">
      <c r="A237">
        <v>18</v>
      </c>
      <c r="B237">
        <v>1</v>
      </c>
      <c r="C237">
        <v>412</v>
      </c>
      <c r="E237" t="s">
        <v>529</v>
      </c>
      <c r="F237" t="s">
        <v>530</v>
      </c>
      <c r="G237" t="s">
        <v>531</v>
      </c>
      <c r="H237" t="s">
        <v>74</v>
      </c>
      <c r="I237">
        <f>I234*J237</f>
        <v>100</v>
      </c>
      <c r="J237">
        <v>71.428571428571431</v>
      </c>
      <c r="O237">
        <f t="shared" si="200"/>
        <v>2139.37</v>
      </c>
      <c r="P237">
        <f t="shared" si="201"/>
        <v>2139.37</v>
      </c>
      <c r="Q237">
        <f t="shared" si="202"/>
        <v>0</v>
      </c>
      <c r="R237">
        <f t="shared" si="203"/>
        <v>0</v>
      </c>
      <c r="S237">
        <f t="shared" si="204"/>
        <v>0</v>
      </c>
      <c r="T237">
        <f t="shared" si="205"/>
        <v>0</v>
      </c>
      <c r="U237">
        <f t="shared" si="206"/>
        <v>0</v>
      </c>
      <c r="V237">
        <f t="shared" si="207"/>
        <v>0</v>
      </c>
      <c r="W237">
        <f t="shared" si="208"/>
        <v>0</v>
      </c>
      <c r="X237">
        <f t="shared" si="209"/>
        <v>0</v>
      </c>
      <c r="Y237">
        <f t="shared" si="210"/>
        <v>0</v>
      </c>
      <c r="AA237">
        <v>39476960</v>
      </c>
      <c r="AB237">
        <f t="shared" si="211"/>
        <v>3.49</v>
      </c>
      <c r="AC237">
        <f t="shared" si="212"/>
        <v>3.49</v>
      </c>
      <c r="AD237">
        <f>ROUND((((ET237)-(EU237))+AE237),2)</f>
        <v>0</v>
      </c>
      <c r="AE237">
        <f t="shared" si="234"/>
        <v>0</v>
      </c>
      <c r="AF237">
        <f t="shared" si="234"/>
        <v>0</v>
      </c>
      <c r="AG237">
        <f t="shared" si="213"/>
        <v>0</v>
      </c>
      <c r="AH237">
        <f t="shared" si="235"/>
        <v>0</v>
      </c>
      <c r="AI237">
        <f t="shared" si="235"/>
        <v>0</v>
      </c>
      <c r="AJ237">
        <f t="shared" si="214"/>
        <v>0</v>
      </c>
      <c r="AK237">
        <v>3.49</v>
      </c>
      <c r="AL237">
        <v>3.49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115</v>
      </c>
      <c r="AU237">
        <v>71</v>
      </c>
      <c r="AV237">
        <v>1</v>
      </c>
      <c r="AW237">
        <v>1</v>
      </c>
      <c r="AZ237">
        <v>6.13</v>
      </c>
      <c r="BA237">
        <v>1</v>
      </c>
      <c r="BB237">
        <v>1</v>
      </c>
      <c r="BC237">
        <v>6.13</v>
      </c>
      <c r="BD237" t="s">
        <v>3</v>
      </c>
      <c r="BE237" t="s">
        <v>3</v>
      </c>
      <c r="BF237" t="s">
        <v>3</v>
      </c>
      <c r="BG237" t="s">
        <v>3</v>
      </c>
      <c r="BH237">
        <v>3</v>
      </c>
      <c r="BI237">
        <v>1</v>
      </c>
      <c r="BJ237" t="s">
        <v>532</v>
      </c>
      <c r="BM237">
        <v>16001</v>
      </c>
      <c r="BN237">
        <v>0</v>
      </c>
      <c r="BO237" t="s">
        <v>3</v>
      </c>
      <c r="BP237">
        <v>0</v>
      </c>
      <c r="BQ237">
        <v>2</v>
      </c>
      <c r="BR237">
        <v>0</v>
      </c>
      <c r="BS237">
        <v>1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3</v>
      </c>
      <c r="BZ237">
        <v>128</v>
      </c>
      <c r="CA237">
        <v>83</v>
      </c>
      <c r="CF237">
        <v>0</v>
      </c>
      <c r="CG237">
        <v>0</v>
      </c>
      <c r="CM237">
        <v>0</v>
      </c>
      <c r="CN237" t="s">
        <v>3</v>
      </c>
      <c r="CO237">
        <v>0</v>
      </c>
      <c r="CP237">
        <f t="shared" si="215"/>
        <v>2139.37</v>
      </c>
      <c r="CQ237">
        <f t="shared" si="216"/>
        <v>21.393700000000003</v>
      </c>
      <c r="CR237">
        <f t="shared" si="217"/>
        <v>0</v>
      </c>
      <c r="CS237">
        <f t="shared" si="218"/>
        <v>0</v>
      </c>
      <c r="CT237">
        <f t="shared" si="219"/>
        <v>0</v>
      </c>
      <c r="CU237">
        <f t="shared" si="220"/>
        <v>0</v>
      </c>
      <c r="CV237">
        <f t="shared" si="221"/>
        <v>0</v>
      </c>
      <c r="CW237">
        <f t="shared" si="222"/>
        <v>0</v>
      </c>
      <c r="CX237">
        <f t="shared" si="223"/>
        <v>0</v>
      </c>
      <c r="CY237">
        <f t="shared" si="224"/>
        <v>0</v>
      </c>
      <c r="CZ237">
        <f t="shared" si="225"/>
        <v>0</v>
      </c>
      <c r="DC237" t="s">
        <v>3</v>
      </c>
      <c r="DD237" t="s">
        <v>3</v>
      </c>
      <c r="DE237" t="s">
        <v>3</v>
      </c>
      <c r="DF237" t="s">
        <v>3</v>
      </c>
      <c r="DG237" t="s">
        <v>3</v>
      </c>
      <c r="DH237" t="s">
        <v>3</v>
      </c>
      <c r="DI237" t="s">
        <v>3</v>
      </c>
      <c r="DJ237" t="s">
        <v>3</v>
      </c>
      <c r="DK237" t="s">
        <v>3</v>
      </c>
      <c r="DL237" t="s">
        <v>3</v>
      </c>
      <c r="DM237" t="s">
        <v>3</v>
      </c>
      <c r="DN237">
        <v>0</v>
      </c>
      <c r="DO237">
        <v>0</v>
      </c>
      <c r="DP237">
        <v>1</v>
      </c>
      <c r="DQ237">
        <v>1</v>
      </c>
      <c r="DU237">
        <v>1003</v>
      </c>
      <c r="DV237" t="s">
        <v>74</v>
      </c>
      <c r="DW237" t="s">
        <v>74</v>
      </c>
      <c r="DX237">
        <v>1</v>
      </c>
      <c r="EE237">
        <v>39174530</v>
      </c>
      <c r="EF237">
        <v>2</v>
      </c>
      <c r="EG237" t="s">
        <v>13</v>
      </c>
      <c r="EH237">
        <v>0</v>
      </c>
      <c r="EI237" t="s">
        <v>3</v>
      </c>
      <c r="EJ237">
        <v>1</v>
      </c>
      <c r="EK237">
        <v>16001</v>
      </c>
      <c r="EL237" t="s">
        <v>519</v>
      </c>
      <c r="EM237" t="s">
        <v>520</v>
      </c>
      <c r="EO237" t="s">
        <v>3</v>
      </c>
      <c r="EQ237">
        <v>0</v>
      </c>
      <c r="ER237">
        <v>3.49</v>
      </c>
      <c r="ES237">
        <v>3.49</v>
      </c>
      <c r="ET237">
        <v>0</v>
      </c>
      <c r="EU237">
        <v>0</v>
      </c>
      <c r="EV237">
        <v>0</v>
      </c>
      <c r="EW237">
        <v>0</v>
      </c>
      <c r="EX237">
        <v>0</v>
      </c>
      <c r="FQ237">
        <v>0</v>
      </c>
      <c r="FR237">
        <f t="shared" si="226"/>
        <v>0</v>
      </c>
      <c r="FS237">
        <v>0</v>
      </c>
      <c r="FT237" t="s">
        <v>29</v>
      </c>
      <c r="FU237" t="s">
        <v>30</v>
      </c>
      <c r="FX237">
        <v>115.2</v>
      </c>
      <c r="FY237">
        <v>70.55</v>
      </c>
      <c r="GA237" t="s">
        <v>3</v>
      </c>
      <c r="GD237">
        <v>0</v>
      </c>
      <c r="GF237">
        <v>810245137</v>
      </c>
      <c r="GG237">
        <v>1</v>
      </c>
      <c r="GH237">
        <v>1</v>
      </c>
      <c r="GI237">
        <v>4</v>
      </c>
      <c r="GJ237">
        <v>0</v>
      </c>
      <c r="GK237">
        <f>ROUND(R237*(R12)/100,2)</f>
        <v>0</v>
      </c>
      <c r="GL237">
        <f t="shared" si="227"/>
        <v>0</v>
      </c>
      <c r="GM237">
        <f t="shared" si="228"/>
        <v>2139.37</v>
      </c>
      <c r="GN237">
        <f t="shared" si="229"/>
        <v>2139.37</v>
      </c>
      <c r="GO237">
        <f t="shared" si="230"/>
        <v>0</v>
      </c>
      <c r="GP237">
        <f t="shared" si="231"/>
        <v>0</v>
      </c>
      <c r="GR237">
        <v>0</v>
      </c>
      <c r="GS237">
        <v>3</v>
      </c>
      <c r="GT237">
        <v>0</v>
      </c>
      <c r="GU237" t="s">
        <v>3</v>
      </c>
      <c r="GV237">
        <f t="shared" si="232"/>
        <v>0</v>
      </c>
      <c r="GW237">
        <v>1</v>
      </c>
      <c r="GX237">
        <f t="shared" si="233"/>
        <v>0</v>
      </c>
      <c r="HA237">
        <v>0</v>
      </c>
      <c r="HB237">
        <v>0</v>
      </c>
      <c r="IK237">
        <v>0</v>
      </c>
    </row>
    <row r="238" spans="1:245" x14ac:dyDescent="0.2">
      <c r="A238">
        <v>18</v>
      </c>
      <c r="B238">
        <v>1</v>
      </c>
      <c r="C238">
        <v>413</v>
      </c>
      <c r="E238" t="s">
        <v>533</v>
      </c>
      <c r="F238" t="s">
        <v>534</v>
      </c>
      <c r="G238" t="s">
        <v>535</v>
      </c>
      <c r="H238" t="s">
        <v>74</v>
      </c>
      <c r="I238">
        <f>I234*J238</f>
        <v>40</v>
      </c>
      <c r="J238">
        <v>28.571428571428573</v>
      </c>
      <c r="O238">
        <f t="shared" si="200"/>
        <v>1127.92</v>
      </c>
      <c r="P238">
        <f t="shared" si="201"/>
        <v>1127.92</v>
      </c>
      <c r="Q238">
        <f t="shared" si="202"/>
        <v>0</v>
      </c>
      <c r="R238">
        <f t="shared" si="203"/>
        <v>0</v>
      </c>
      <c r="S238">
        <f t="shared" si="204"/>
        <v>0</v>
      </c>
      <c r="T238">
        <f t="shared" si="205"/>
        <v>0</v>
      </c>
      <c r="U238">
        <f t="shared" si="206"/>
        <v>0</v>
      </c>
      <c r="V238">
        <f t="shared" si="207"/>
        <v>0</v>
      </c>
      <c r="W238">
        <f t="shared" si="208"/>
        <v>0</v>
      </c>
      <c r="X238">
        <f t="shared" si="209"/>
        <v>0</v>
      </c>
      <c r="Y238">
        <f t="shared" si="210"/>
        <v>0</v>
      </c>
      <c r="AA238">
        <v>39476960</v>
      </c>
      <c r="AB238">
        <f t="shared" si="211"/>
        <v>4.5999999999999996</v>
      </c>
      <c r="AC238">
        <f t="shared" si="212"/>
        <v>4.5999999999999996</v>
      </c>
      <c r="AD238">
        <f>ROUND((((ET238)-(EU238))+AE238),2)</f>
        <v>0</v>
      </c>
      <c r="AE238">
        <f t="shared" si="234"/>
        <v>0</v>
      </c>
      <c r="AF238">
        <f t="shared" si="234"/>
        <v>0</v>
      </c>
      <c r="AG238">
        <f t="shared" si="213"/>
        <v>0</v>
      </c>
      <c r="AH238">
        <f t="shared" si="235"/>
        <v>0</v>
      </c>
      <c r="AI238">
        <f t="shared" si="235"/>
        <v>0</v>
      </c>
      <c r="AJ238">
        <f t="shared" si="214"/>
        <v>0</v>
      </c>
      <c r="AK238">
        <v>4.5999999999999996</v>
      </c>
      <c r="AL238">
        <v>4.5999999999999996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115</v>
      </c>
      <c r="AU238">
        <v>71</v>
      </c>
      <c r="AV238">
        <v>1</v>
      </c>
      <c r="AW238">
        <v>1</v>
      </c>
      <c r="AZ238">
        <v>6.13</v>
      </c>
      <c r="BA238">
        <v>1</v>
      </c>
      <c r="BB238">
        <v>1</v>
      </c>
      <c r="BC238">
        <v>6.13</v>
      </c>
      <c r="BD238" t="s">
        <v>3</v>
      </c>
      <c r="BE238" t="s">
        <v>3</v>
      </c>
      <c r="BF238" t="s">
        <v>3</v>
      </c>
      <c r="BG238" t="s">
        <v>3</v>
      </c>
      <c r="BH238">
        <v>3</v>
      </c>
      <c r="BI238">
        <v>1</v>
      </c>
      <c r="BJ238" t="s">
        <v>536</v>
      </c>
      <c r="BM238">
        <v>16001</v>
      </c>
      <c r="BN238">
        <v>0</v>
      </c>
      <c r="BO238" t="s">
        <v>3</v>
      </c>
      <c r="BP238">
        <v>0</v>
      </c>
      <c r="BQ238">
        <v>2</v>
      </c>
      <c r="BR238">
        <v>0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3</v>
      </c>
      <c r="BZ238">
        <v>128</v>
      </c>
      <c r="CA238">
        <v>83</v>
      </c>
      <c r="CF238">
        <v>0</v>
      </c>
      <c r="CG238">
        <v>0</v>
      </c>
      <c r="CM238">
        <v>0</v>
      </c>
      <c r="CN238" t="s">
        <v>3</v>
      </c>
      <c r="CO238">
        <v>0</v>
      </c>
      <c r="CP238">
        <f t="shared" si="215"/>
        <v>1127.92</v>
      </c>
      <c r="CQ238">
        <f t="shared" si="216"/>
        <v>28.197999999999997</v>
      </c>
      <c r="CR238">
        <f t="shared" si="217"/>
        <v>0</v>
      </c>
      <c r="CS238">
        <f t="shared" si="218"/>
        <v>0</v>
      </c>
      <c r="CT238">
        <f t="shared" si="219"/>
        <v>0</v>
      </c>
      <c r="CU238">
        <f t="shared" si="220"/>
        <v>0</v>
      </c>
      <c r="CV238">
        <f t="shared" si="221"/>
        <v>0</v>
      </c>
      <c r="CW238">
        <f t="shared" si="222"/>
        <v>0</v>
      </c>
      <c r="CX238">
        <f t="shared" si="223"/>
        <v>0</v>
      </c>
      <c r="CY238">
        <f t="shared" si="224"/>
        <v>0</v>
      </c>
      <c r="CZ238">
        <f t="shared" si="225"/>
        <v>0</v>
      </c>
      <c r="DC238" t="s">
        <v>3</v>
      </c>
      <c r="DD238" t="s">
        <v>3</v>
      </c>
      <c r="DE238" t="s">
        <v>3</v>
      </c>
      <c r="DF238" t="s">
        <v>3</v>
      </c>
      <c r="DG238" t="s">
        <v>3</v>
      </c>
      <c r="DH238" t="s">
        <v>3</v>
      </c>
      <c r="DI238" t="s">
        <v>3</v>
      </c>
      <c r="DJ238" t="s">
        <v>3</v>
      </c>
      <c r="DK238" t="s">
        <v>3</v>
      </c>
      <c r="DL238" t="s">
        <v>3</v>
      </c>
      <c r="DM238" t="s">
        <v>3</v>
      </c>
      <c r="DN238">
        <v>0</v>
      </c>
      <c r="DO238">
        <v>0</v>
      </c>
      <c r="DP238">
        <v>1</v>
      </c>
      <c r="DQ238">
        <v>1</v>
      </c>
      <c r="DU238">
        <v>1003</v>
      </c>
      <c r="DV238" t="s">
        <v>74</v>
      </c>
      <c r="DW238" t="s">
        <v>74</v>
      </c>
      <c r="DX238">
        <v>1</v>
      </c>
      <c r="EE238">
        <v>39174530</v>
      </c>
      <c r="EF238">
        <v>2</v>
      </c>
      <c r="EG238" t="s">
        <v>13</v>
      </c>
      <c r="EH238">
        <v>0</v>
      </c>
      <c r="EI238" t="s">
        <v>3</v>
      </c>
      <c r="EJ238">
        <v>1</v>
      </c>
      <c r="EK238">
        <v>16001</v>
      </c>
      <c r="EL238" t="s">
        <v>519</v>
      </c>
      <c r="EM238" t="s">
        <v>520</v>
      </c>
      <c r="EO238" t="s">
        <v>3</v>
      </c>
      <c r="EQ238">
        <v>0</v>
      </c>
      <c r="ER238">
        <v>4.5999999999999996</v>
      </c>
      <c r="ES238">
        <v>4.5999999999999996</v>
      </c>
      <c r="ET238">
        <v>0</v>
      </c>
      <c r="EU238">
        <v>0</v>
      </c>
      <c r="EV238">
        <v>0</v>
      </c>
      <c r="EW238">
        <v>0</v>
      </c>
      <c r="EX238">
        <v>0</v>
      </c>
      <c r="FQ238">
        <v>0</v>
      </c>
      <c r="FR238">
        <f t="shared" si="226"/>
        <v>0</v>
      </c>
      <c r="FS238">
        <v>0</v>
      </c>
      <c r="FT238" t="s">
        <v>29</v>
      </c>
      <c r="FU238" t="s">
        <v>30</v>
      </c>
      <c r="FX238">
        <v>115.2</v>
      </c>
      <c r="FY238">
        <v>70.55</v>
      </c>
      <c r="GA238" t="s">
        <v>3</v>
      </c>
      <c r="GD238">
        <v>0</v>
      </c>
      <c r="GF238">
        <v>-2002545417</v>
      </c>
      <c r="GG238">
        <v>1</v>
      </c>
      <c r="GH238">
        <v>1</v>
      </c>
      <c r="GI238">
        <v>4</v>
      </c>
      <c r="GJ238">
        <v>0</v>
      </c>
      <c r="GK238">
        <f>ROUND(R238*(R12)/100,2)</f>
        <v>0</v>
      </c>
      <c r="GL238">
        <f t="shared" si="227"/>
        <v>0</v>
      </c>
      <c r="GM238">
        <f t="shared" si="228"/>
        <v>1127.92</v>
      </c>
      <c r="GN238">
        <f t="shared" si="229"/>
        <v>1127.92</v>
      </c>
      <c r="GO238">
        <f t="shared" si="230"/>
        <v>0</v>
      </c>
      <c r="GP238">
        <f t="shared" si="231"/>
        <v>0</v>
      </c>
      <c r="GR238">
        <v>0</v>
      </c>
      <c r="GS238">
        <v>3</v>
      </c>
      <c r="GT238">
        <v>0</v>
      </c>
      <c r="GU238" t="s">
        <v>3</v>
      </c>
      <c r="GV238">
        <f t="shared" si="232"/>
        <v>0</v>
      </c>
      <c r="GW238">
        <v>1</v>
      </c>
      <c r="GX238">
        <f t="shared" si="233"/>
        <v>0</v>
      </c>
      <c r="HA238">
        <v>0</v>
      </c>
      <c r="HB238">
        <v>0</v>
      </c>
      <c r="IK238">
        <v>0</v>
      </c>
    </row>
    <row r="239" spans="1:245" x14ac:dyDescent="0.2">
      <c r="A239">
        <v>18</v>
      </c>
      <c r="B239">
        <v>1</v>
      </c>
      <c r="C239">
        <v>414</v>
      </c>
      <c r="E239" t="s">
        <v>537</v>
      </c>
      <c r="F239" t="s">
        <v>538</v>
      </c>
      <c r="G239" t="s">
        <v>539</v>
      </c>
      <c r="H239" t="s">
        <v>74</v>
      </c>
      <c r="I239">
        <f>I234*J239</f>
        <v>140</v>
      </c>
      <c r="J239">
        <v>100</v>
      </c>
      <c r="O239">
        <f t="shared" si="200"/>
        <v>0</v>
      </c>
      <c r="P239">
        <f t="shared" si="201"/>
        <v>0</v>
      </c>
      <c r="Q239">
        <f t="shared" si="202"/>
        <v>0</v>
      </c>
      <c r="R239">
        <f t="shared" si="203"/>
        <v>0</v>
      </c>
      <c r="S239">
        <f t="shared" si="204"/>
        <v>0</v>
      </c>
      <c r="T239">
        <f t="shared" si="205"/>
        <v>0</v>
      </c>
      <c r="U239">
        <f t="shared" si="206"/>
        <v>0</v>
      </c>
      <c r="V239">
        <f t="shared" si="207"/>
        <v>0</v>
      </c>
      <c r="W239">
        <f t="shared" si="208"/>
        <v>0</v>
      </c>
      <c r="X239">
        <f t="shared" si="209"/>
        <v>0</v>
      </c>
      <c r="Y239">
        <f t="shared" si="210"/>
        <v>0</v>
      </c>
      <c r="AA239">
        <v>39476960</v>
      </c>
      <c r="AB239">
        <f t="shared" si="211"/>
        <v>0</v>
      </c>
      <c r="AC239">
        <f t="shared" si="212"/>
        <v>0</v>
      </c>
      <c r="AD239">
        <f>ROUND((((ET239)-(EU239))+AE239),2)</f>
        <v>0</v>
      </c>
      <c r="AE239">
        <f t="shared" si="234"/>
        <v>0</v>
      </c>
      <c r="AF239">
        <f t="shared" si="234"/>
        <v>0</v>
      </c>
      <c r="AG239">
        <f t="shared" si="213"/>
        <v>0</v>
      </c>
      <c r="AH239">
        <f t="shared" si="235"/>
        <v>0</v>
      </c>
      <c r="AI239">
        <f t="shared" si="235"/>
        <v>0</v>
      </c>
      <c r="AJ239">
        <f t="shared" si="214"/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115</v>
      </c>
      <c r="AU239">
        <v>71</v>
      </c>
      <c r="AV239">
        <v>1</v>
      </c>
      <c r="AW239">
        <v>1</v>
      </c>
      <c r="AZ239">
        <v>6.13</v>
      </c>
      <c r="BA239">
        <v>1</v>
      </c>
      <c r="BB239">
        <v>1</v>
      </c>
      <c r="BC239">
        <v>6.13</v>
      </c>
      <c r="BD239" t="s">
        <v>3</v>
      </c>
      <c r="BE239" t="s">
        <v>3</v>
      </c>
      <c r="BF239" t="s">
        <v>3</v>
      </c>
      <c r="BG239" t="s">
        <v>3</v>
      </c>
      <c r="BH239">
        <v>3</v>
      </c>
      <c r="BI239">
        <v>1</v>
      </c>
      <c r="BJ239" t="s">
        <v>3</v>
      </c>
      <c r="BM239">
        <v>16001</v>
      </c>
      <c r="BN239">
        <v>0</v>
      </c>
      <c r="BO239" t="s">
        <v>3</v>
      </c>
      <c r="BP239">
        <v>0</v>
      </c>
      <c r="BQ239">
        <v>2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128</v>
      </c>
      <c r="CA239">
        <v>83</v>
      </c>
      <c r="CF239">
        <v>0</v>
      </c>
      <c r="CG239">
        <v>0</v>
      </c>
      <c r="CM239">
        <v>0</v>
      </c>
      <c r="CN239" t="s">
        <v>3</v>
      </c>
      <c r="CO239">
        <v>0</v>
      </c>
      <c r="CP239">
        <f t="shared" si="215"/>
        <v>0</v>
      </c>
      <c r="CQ239">
        <f t="shared" si="216"/>
        <v>0</v>
      </c>
      <c r="CR239">
        <f t="shared" si="217"/>
        <v>0</v>
      </c>
      <c r="CS239">
        <f t="shared" si="218"/>
        <v>0</v>
      </c>
      <c r="CT239">
        <f t="shared" si="219"/>
        <v>0</v>
      </c>
      <c r="CU239">
        <f t="shared" si="220"/>
        <v>0</v>
      </c>
      <c r="CV239">
        <f t="shared" si="221"/>
        <v>0</v>
      </c>
      <c r="CW239">
        <f t="shared" si="222"/>
        <v>0</v>
      </c>
      <c r="CX239">
        <f t="shared" si="223"/>
        <v>0</v>
      </c>
      <c r="CY239">
        <f t="shared" si="224"/>
        <v>0</v>
      </c>
      <c r="CZ239">
        <f t="shared" si="225"/>
        <v>0</v>
      </c>
      <c r="DC239" t="s">
        <v>3</v>
      </c>
      <c r="DD239" t="s">
        <v>3</v>
      </c>
      <c r="DE239" t="s">
        <v>3</v>
      </c>
      <c r="DF239" t="s">
        <v>3</v>
      </c>
      <c r="DG239" t="s">
        <v>3</v>
      </c>
      <c r="DH239" t="s">
        <v>3</v>
      </c>
      <c r="DI239" t="s">
        <v>3</v>
      </c>
      <c r="DJ239" t="s">
        <v>3</v>
      </c>
      <c r="DK239" t="s">
        <v>3</v>
      </c>
      <c r="DL239" t="s">
        <v>3</v>
      </c>
      <c r="DM239" t="s">
        <v>3</v>
      </c>
      <c r="DN239">
        <v>0</v>
      </c>
      <c r="DO239">
        <v>0</v>
      </c>
      <c r="DP239">
        <v>1</v>
      </c>
      <c r="DQ239">
        <v>1</v>
      </c>
      <c r="DU239">
        <v>1003</v>
      </c>
      <c r="DV239" t="s">
        <v>74</v>
      </c>
      <c r="DW239" t="s">
        <v>74</v>
      </c>
      <c r="DX239">
        <v>1</v>
      </c>
      <c r="EE239">
        <v>39174530</v>
      </c>
      <c r="EF239">
        <v>2</v>
      </c>
      <c r="EG239" t="s">
        <v>13</v>
      </c>
      <c r="EH239">
        <v>0</v>
      </c>
      <c r="EI239" t="s">
        <v>3</v>
      </c>
      <c r="EJ239">
        <v>1</v>
      </c>
      <c r="EK239">
        <v>16001</v>
      </c>
      <c r="EL239" t="s">
        <v>519</v>
      </c>
      <c r="EM239" t="s">
        <v>520</v>
      </c>
      <c r="EO239" t="s">
        <v>3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226"/>
        <v>0</v>
      </c>
      <c r="FS239">
        <v>0</v>
      </c>
      <c r="FT239" t="s">
        <v>29</v>
      </c>
      <c r="FU239" t="s">
        <v>30</v>
      </c>
      <c r="FX239">
        <v>115.2</v>
      </c>
      <c r="FY239">
        <v>70.55</v>
      </c>
      <c r="GA239" t="s">
        <v>3</v>
      </c>
      <c r="GD239">
        <v>0</v>
      </c>
      <c r="GF239">
        <v>1990328174</v>
      </c>
      <c r="GG239">
        <v>1</v>
      </c>
      <c r="GH239">
        <v>1</v>
      </c>
      <c r="GI239">
        <v>4</v>
      </c>
      <c r="GJ239">
        <v>0</v>
      </c>
      <c r="GK239">
        <f>ROUND(R239*(R12)/100,2)</f>
        <v>0</v>
      </c>
      <c r="GL239">
        <f t="shared" si="227"/>
        <v>0</v>
      </c>
      <c r="GM239">
        <f t="shared" si="228"/>
        <v>0</v>
      </c>
      <c r="GN239">
        <f t="shared" si="229"/>
        <v>0</v>
      </c>
      <c r="GO239">
        <f t="shared" si="230"/>
        <v>0</v>
      </c>
      <c r="GP239">
        <f t="shared" si="231"/>
        <v>0</v>
      </c>
      <c r="GR239">
        <v>0</v>
      </c>
      <c r="GS239">
        <v>3</v>
      </c>
      <c r="GT239">
        <v>0</v>
      </c>
      <c r="GU239" t="s">
        <v>3</v>
      </c>
      <c r="GV239">
        <f t="shared" si="232"/>
        <v>0</v>
      </c>
      <c r="GW239">
        <v>1</v>
      </c>
      <c r="GX239">
        <f t="shared" si="233"/>
        <v>0</v>
      </c>
      <c r="HA239">
        <v>0</v>
      </c>
      <c r="HB239">
        <v>0</v>
      </c>
      <c r="IK239">
        <v>0</v>
      </c>
    </row>
    <row r="240" spans="1:245" x14ac:dyDescent="0.2">
      <c r="A240">
        <v>17</v>
      </c>
      <c r="B240">
        <v>1</v>
      </c>
      <c r="C240">
        <f>ROW(SmtRes!A422)</f>
        <v>422</v>
      </c>
      <c r="D240">
        <f>ROW(EtalonRes!A395)</f>
        <v>395</v>
      </c>
      <c r="E240" t="s">
        <v>540</v>
      </c>
      <c r="F240" t="s">
        <v>541</v>
      </c>
      <c r="G240" t="s">
        <v>542</v>
      </c>
      <c r="H240" t="s">
        <v>403</v>
      </c>
      <c r="I240">
        <v>2</v>
      </c>
      <c r="J240">
        <v>0</v>
      </c>
      <c r="O240">
        <f t="shared" si="200"/>
        <v>1381.58</v>
      </c>
      <c r="P240">
        <f t="shared" si="201"/>
        <v>52.72</v>
      </c>
      <c r="Q240">
        <f t="shared" si="202"/>
        <v>111.44</v>
      </c>
      <c r="R240">
        <f t="shared" si="203"/>
        <v>9.1999999999999993</v>
      </c>
      <c r="S240">
        <f t="shared" si="204"/>
        <v>1217.42</v>
      </c>
      <c r="T240">
        <f t="shared" si="205"/>
        <v>0</v>
      </c>
      <c r="U240">
        <f t="shared" si="206"/>
        <v>20.6448</v>
      </c>
      <c r="V240">
        <f t="shared" si="207"/>
        <v>0.12</v>
      </c>
      <c r="W240">
        <f t="shared" si="208"/>
        <v>0</v>
      </c>
      <c r="X240">
        <f t="shared" si="209"/>
        <v>1410.61</v>
      </c>
      <c r="Y240">
        <f t="shared" si="210"/>
        <v>870.9</v>
      </c>
      <c r="AA240">
        <v>39476960</v>
      </c>
      <c r="AB240">
        <f t="shared" si="211"/>
        <v>112.69</v>
      </c>
      <c r="AC240">
        <f t="shared" si="212"/>
        <v>4.3</v>
      </c>
      <c r="AD240">
        <f>ROUND((((((ET240*1.25)*1.2))-(((EU240*1.25)*1.2)))+AE240),2)</f>
        <v>9.09</v>
      </c>
      <c r="AE240">
        <f>ROUND((((EU240*1.25)*1.2)),2)</f>
        <v>0.75</v>
      </c>
      <c r="AF240">
        <f>ROUND((((EV240*1.15)*1.2)),2)</f>
        <v>99.3</v>
      </c>
      <c r="AG240">
        <f t="shared" si="213"/>
        <v>0</v>
      </c>
      <c r="AH240">
        <f>(((EW240*1.15)*1.2))</f>
        <v>10.3224</v>
      </c>
      <c r="AI240">
        <f>(((EX240*1.25)*1.2))</f>
        <v>0.06</v>
      </c>
      <c r="AJ240">
        <f t="shared" si="214"/>
        <v>0</v>
      </c>
      <c r="AK240">
        <v>82.32</v>
      </c>
      <c r="AL240">
        <v>4.3</v>
      </c>
      <c r="AM240">
        <v>6.06</v>
      </c>
      <c r="AN240">
        <v>0.5</v>
      </c>
      <c r="AO240">
        <v>71.959999999999994</v>
      </c>
      <c r="AP240">
        <v>0</v>
      </c>
      <c r="AQ240">
        <v>7.48</v>
      </c>
      <c r="AR240">
        <v>0.04</v>
      </c>
      <c r="AS240">
        <v>0</v>
      </c>
      <c r="AT240">
        <v>115</v>
      </c>
      <c r="AU240">
        <v>71</v>
      </c>
      <c r="AV240">
        <v>1</v>
      </c>
      <c r="AW240">
        <v>1</v>
      </c>
      <c r="AZ240">
        <v>6.13</v>
      </c>
      <c r="BA240">
        <v>6.13</v>
      </c>
      <c r="BB240">
        <v>6.13</v>
      </c>
      <c r="BC240">
        <v>6.13</v>
      </c>
      <c r="BD240" t="s">
        <v>3</v>
      </c>
      <c r="BE240" t="s">
        <v>3</v>
      </c>
      <c r="BF240" t="s">
        <v>3</v>
      </c>
      <c r="BG240" t="s">
        <v>3</v>
      </c>
      <c r="BH240">
        <v>0</v>
      </c>
      <c r="BI240">
        <v>1</v>
      </c>
      <c r="BJ240" t="s">
        <v>543</v>
      </c>
      <c r="BM240">
        <v>18001</v>
      </c>
      <c r="BN240">
        <v>0</v>
      </c>
      <c r="BO240" t="s">
        <v>3</v>
      </c>
      <c r="BP240">
        <v>0</v>
      </c>
      <c r="BQ240">
        <v>2</v>
      </c>
      <c r="BR240">
        <v>0</v>
      </c>
      <c r="BS240">
        <v>6.13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128</v>
      </c>
      <c r="CA240">
        <v>83</v>
      </c>
      <c r="CF240">
        <v>0</v>
      </c>
      <c r="CG240">
        <v>0</v>
      </c>
      <c r="CM240">
        <v>0</v>
      </c>
      <c r="CN240" t="s">
        <v>1274</v>
      </c>
      <c r="CO240">
        <v>0</v>
      </c>
      <c r="CP240">
        <f t="shared" si="215"/>
        <v>1381.5800000000002</v>
      </c>
      <c r="CQ240">
        <f t="shared" si="216"/>
        <v>26.358999999999998</v>
      </c>
      <c r="CR240">
        <f t="shared" si="217"/>
        <v>55.721699999999998</v>
      </c>
      <c r="CS240">
        <f t="shared" si="218"/>
        <v>4.5975000000000001</v>
      </c>
      <c r="CT240">
        <f t="shared" si="219"/>
        <v>608.70899999999995</v>
      </c>
      <c r="CU240">
        <f t="shared" si="220"/>
        <v>0</v>
      </c>
      <c r="CV240">
        <f t="shared" si="221"/>
        <v>10.3224</v>
      </c>
      <c r="CW240">
        <f t="shared" si="222"/>
        <v>0.06</v>
      </c>
      <c r="CX240">
        <f t="shared" si="223"/>
        <v>0</v>
      </c>
      <c r="CY240">
        <f t="shared" si="224"/>
        <v>1410.6130000000003</v>
      </c>
      <c r="CZ240">
        <f t="shared" si="225"/>
        <v>870.90020000000004</v>
      </c>
      <c r="DC240" t="s">
        <v>3</v>
      </c>
      <c r="DD240" t="s">
        <v>3</v>
      </c>
      <c r="DE240" t="s">
        <v>53</v>
      </c>
      <c r="DF240" t="s">
        <v>53</v>
      </c>
      <c r="DG240" t="s">
        <v>54</v>
      </c>
      <c r="DH240" t="s">
        <v>3</v>
      </c>
      <c r="DI240" t="s">
        <v>54</v>
      </c>
      <c r="DJ240" t="s">
        <v>53</v>
      </c>
      <c r="DK240" t="s">
        <v>3</v>
      </c>
      <c r="DL240" t="s">
        <v>3</v>
      </c>
      <c r="DM240" t="s">
        <v>3</v>
      </c>
      <c r="DN240">
        <v>0</v>
      </c>
      <c r="DO240">
        <v>0</v>
      </c>
      <c r="DP240">
        <v>1</v>
      </c>
      <c r="DQ240">
        <v>1</v>
      </c>
      <c r="DU240">
        <v>1013</v>
      </c>
      <c r="DV240" t="s">
        <v>403</v>
      </c>
      <c r="DW240" t="s">
        <v>403</v>
      </c>
      <c r="DX240">
        <v>1</v>
      </c>
      <c r="EE240">
        <v>39174532</v>
      </c>
      <c r="EF240">
        <v>2</v>
      </c>
      <c r="EG240" t="s">
        <v>13</v>
      </c>
      <c r="EH240">
        <v>0</v>
      </c>
      <c r="EI240" t="s">
        <v>3</v>
      </c>
      <c r="EJ240">
        <v>1</v>
      </c>
      <c r="EK240">
        <v>18001</v>
      </c>
      <c r="EL240" t="s">
        <v>544</v>
      </c>
      <c r="EM240" t="s">
        <v>545</v>
      </c>
      <c r="EO240" t="s">
        <v>89</v>
      </c>
      <c r="EQ240">
        <v>0</v>
      </c>
      <c r="ER240">
        <v>82.32</v>
      </c>
      <c r="ES240">
        <v>4.3</v>
      </c>
      <c r="ET240">
        <v>6.06</v>
      </c>
      <c r="EU240">
        <v>0.5</v>
      </c>
      <c r="EV240">
        <v>71.959999999999994</v>
      </c>
      <c r="EW240">
        <v>7.48</v>
      </c>
      <c r="EX240">
        <v>0.04</v>
      </c>
      <c r="EY240">
        <v>0</v>
      </c>
      <c r="FQ240">
        <v>0</v>
      </c>
      <c r="FR240">
        <f t="shared" si="226"/>
        <v>0</v>
      </c>
      <c r="FS240">
        <v>0</v>
      </c>
      <c r="FT240" t="s">
        <v>29</v>
      </c>
      <c r="FU240" t="s">
        <v>30</v>
      </c>
      <c r="FX240">
        <v>115.2</v>
      </c>
      <c r="FY240">
        <v>70.55</v>
      </c>
      <c r="GA240" t="s">
        <v>3</v>
      </c>
      <c r="GD240">
        <v>0</v>
      </c>
      <c r="GF240">
        <v>-162795967</v>
      </c>
      <c r="GG240">
        <v>1</v>
      </c>
      <c r="GH240">
        <v>1</v>
      </c>
      <c r="GI240">
        <v>4</v>
      </c>
      <c r="GJ240">
        <v>0</v>
      </c>
      <c r="GK240">
        <f>ROUND(R240*(R12)/100,2)</f>
        <v>0</v>
      </c>
      <c r="GL240">
        <f t="shared" si="227"/>
        <v>0</v>
      </c>
      <c r="GM240">
        <f t="shared" si="228"/>
        <v>3663.09</v>
      </c>
      <c r="GN240">
        <f t="shared" si="229"/>
        <v>3663.09</v>
      </c>
      <c r="GO240">
        <f t="shared" si="230"/>
        <v>0</v>
      </c>
      <c r="GP240">
        <f t="shared" si="231"/>
        <v>0</v>
      </c>
      <c r="GR240">
        <v>0</v>
      </c>
      <c r="GS240">
        <v>3</v>
      </c>
      <c r="GT240">
        <v>0</v>
      </c>
      <c r="GU240" t="s">
        <v>3</v>
      </c>
      <c r="GV240">
        <f t="shared" si="232"/>
        <v>0</v>
      </c>
      <c r="GW240">
        <v>1</v>
      </c>
      <c r="GX240">
        <f t="shared" si="233"/>
        <v>0</v>
      </c>
      <c r="HA240">
        <v>0</v>
      </c>
      <c r="HB240">
        <v>0</v>
      </c>
      <c r="IK240">
        <v>0</v>
      </c>
    </row>
    <row r="241" spans="1:245" x14ac:dyDescent="0.2">
      <c r="A241">
        <v>18</v>
      </c>
      <c r="B241">
        <v>1</v>
      </c>
      <c r="C241">
        <v>422</v>
      </c>
      <c r="E241" t="s">
        <v>546</v>
      </c>
      <c r="F241" t="s">
        <v>547</v>
      </c>
      <c r="G241" t="s">
        <v>548</v>
      </c>
      <c r="H241" t="s">
        <v>415</v>
      </c>
      <c r="I241">
        <f>I240*J241</f>
        <v>2</v>
      </c>
      <c r="J241">
        <v>1</v>
      </c>
      <c r="O241">
        <f t="shared" si="200"/>
        <v>1245.3699999999999</v>
      </c>
      <c r="P241">
        <f t="shared" si="201"/>
        <v>1245.3699999999999</v>
      </c>
      <c r="Q241">
        <f t="shared" si="202"/>
        <v>0</v>
      </c>
      <c r="R241">
        <f t="shared" si="203"/>
        <v>0</v>
      </c>
      <c r="S241">
        <f t="shared" si="204"/>
        <v>0</v>
      </c>
      <c r="T241">
        <f t="shared" si="205"/>
        <v>0</v>
      </c>
      <c r="U241">
        <f t="shared" si="206"/>
        <v>0</v>
      </c>
      <c r="V241">
        <f t="shared" si="207"/>
        <v>0</v>
      </c>
      <c r="W241">
        <f t="shared" si="208"/>
        <v>0</v>
      </c>
      <c r="X241">
        <f t="shared" si="209"/>
        <v>0</v>
      </c>
      <c r="Y241">
        <f t="shared" si="210"/>
        <v>0</v>
      </c>
      <c r="AA241">
        <v>39476960</v>
      </c>
      <c r="AB241">
        <f t="shared" si="211"/>
        <v>101.58</v>
      </c>
      <c r="AC241">
        <f t="shared" si="212"/>
        <v>101.58</v>
      </c>
      <c r="AD241">
        <f>ROUND((((ET241)-(EU241))+AE241),2)</f>
        <v>0</v>
      </c>
      <c r="AE241">
        <f>ROUND((EU241),2)</f>
        <v>0</v>
      </c>
      <c r="AF241">
        <f>ROUND((EV241),2)</f>
        <v>0</v>
      </c>
      <c r="AG241">
        <f t="shared" si="213"/>
        <v>0</v>
      </c>
      <c r="AH241">
        <f>(EW241)</f>
        <v>0</v>
      </c>
      <c r="AI241">
        <f>(EX241)</f>
        <v>0</v>
      </c>
      <c r="AJ241">
        <f t="shared" si="214"/>
        <v>0</v>
      </c>
      <c r="AK241">
        <v>101.58</v>
      </c>
      <c r="AL241">
        <v>101.58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115</v>
      </c>
      <c r="AU241">
        <v>71</v>
      </c>
      <c r="AV241">
        <v>1</v>
      </c>
      <c r="AW241">
        <v>1</v>
      </c>
      <c r="AZ241">
        <v>6.13</v>
      </c>
      <c r="BA241">
        <v>1</v>
      </c>
      <c r="BB241">
        <v>1</v>
      </c>
      <c r="BC241">
        <v>6.13</v>
      </c>
      <c r="BD241" t="s">
        <v>3</v>
      </c>
      <c r="BE241" t="s">
        <v>3</v>
      </c>
      <c r="BF241" t="s">
        <v>3</v>
      </c>
      <c r="BG241" t="s">
        <v>3</v>
      </c>
      <c r="BH241">
        <v>3</v>
      </c>
      <c r="BI241">
        <v>1</v>
      </c>
      <c r="BJ241" t="s">
        <v>549</v>
      </c>
      <c r="BM241">
        <v>18001</v>
      </c>
      <c r="BN241">
        <v>0</v>
      </c>
      <c r="BO241" t="s">
        <v>3</v>
      </c>
      <c r="BP241">
        <v>0</v>
      </c>
      <c r="BQ241">
        <v>2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128</v>
      </c>
      <c r="CA241">
        <v>83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15"/>
        <v>1245.3699999999999</v>
      </c>
      <c r="CQ241">
        <f t="shared" si="216"/>
        <v>622.68539999999996</v>
      </c>
      <c r="CR241">
        <f t="shared" si="217"/>
        <v>0</v>
      </c>
      <c r="CS241">
        <f t="shared" si="218"/>
        <v>0</v>
      </c>
      <c r="CT241">
        <f t="shared" si="219"/>
        <v>0</v>
      </c>
      <c r="CU241">
        <f t="shared" si="220"/>
        <v>0</v>
      </c>
      <c r="CV241">
        <f t="shared" si="221"/>
        <v>0</v>
      </c>
      <c r="CW241">
        <f t="shared" si="222"/>
        <v>0</v>
      </c>
      <c r="CX241">
        <f t="shared" si="223"/>
        <v>0</v>
      </c>
      <c r="CY241">
        <f t="shared" si="224"/>
        <v>0</v>
      </c>
      <c r="CZ241">
        <f t="shared" si="225"/>
        <v>0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1010</v>
      </c>
      <c r="DV241" t="s">
        <v>415</v>
      </c>
      <c r="DW241" t="s">
        <v>415</v>
      </c>
      <c r="DX241">
        <v>1</v>
      </c>
      <c r="EE241">
        <v>39174532</v>
      </c>
      <c r="EF241">
        <v>2</v>
      </c>
      <c r="EG241" t="s">
        <v>13</v>
      </c>
      <c r="EH241">
        <v>0</v>
      </c>
      <c r="EI241" t="s">
        <v>3</v>
      </c>
      <c r="EJ241">
        <v>1</v>
      </c>
      <c r="EK241">
        <v>18001</v>
      </c>
      <c r="EL241" t="s">
        <v>544</v>
      </c>
      <c r="EM241" t="s">
        <v>545</v>
      </c>
      <c r="EO241" t="s">
        <v>3</v>
      </c>
      <c r="EQ241">
        <v>0</v>
      </c>
      <c r="ER241">
        <v>101.58</v>
      </c>
      <c r="ES241">
        <v>101.58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226"/>
        <v>0</v>
      </c>
      <c r="FS241">
        <v>0</v>
      </c>
      <c r="FT241" t="s">
        <v>29</v>
      </c>
      <c r="FU241" t="s">
        <v>30</v>
      </c>
      <c r="FX241">
        <v>115.2</v>
      </c>
      <c r="FY241">
        <v>70.55</v>
      </c>
      <c r="GA241" t="s">
        <v>3</v>
      </c>
      <c r="GD241">
        <v>0</v>
      </c>
      <c r="GF241">
        <v>1150264591</v>
      </c>
      <c r="GG241">
        <v>1</v>
      </c>
      <c r="GH241">
        <v>1</v>
      </c>
      <c r="GI241">
        <v>4</v>
      </c>
      <c r="GJ241">
        <v>0</v>
      </c>
      <c r="GK241">
        <f>ROUND(R241*(R12)/100,2)</f>
        <v>0</v>
      </c>
      <c r="GL241">
        <f t="shared" si="227"/>
        <v>0</v>
      </c>
      <c r="GM241">
        <f t="shared" si="228"/>
        <v>1245.3699999999999</v>
      </c>
      <c r="GN241">
        <f t="shared" si="229"/>
        <v>1245.3699999999999</v>
      </c>
      <c r="GO241">
        <f t="shared" si="230"/>
        <v>0</v>
      </c>
      <c r="GP241">
        <f t="shared" si="231"/>
        <v>0</v>
      </c>
      <c r="GR241">
        <v>0</v>
      </c>
      <c r="GS241">
        <v>3</v>
      </c>
      <c r="GT241">
        <v>0</v>
      </c>
      <c r="GU241" t="s">
        <v>3</v>
      </c>
      <c r="GV241">
        <f t="shared" si="232"/>
        <v>0</v>
      </c>
      <c r="GW241">
        <v>1</v>
      </c>
      <c r="GX241">
        <f t="shared" si="233"/>
        <v>0</v>
      </c>
      <c r="HA241">
        <v>0</v>
      </c>
      <c r="HB241">
        <v>0</v>
      </c>
      <c r="IK241">
        <v>0</v>
      </c>
    </row>
    <row r="242" spans="1:245" x14ac:dyDescent="0.2">
      <c r="A242">
        <v>17</v>
      </c>
      <c r="B242">
        <v>1</v>
      </c>
      <c r="C242">
        <f>ROW(SmtRes!A430)</f>
        <v>430</v>
      </c>
      <c r="D242">
        <f>ROW(EtalonRes!A402)</f>
        <v>402</v>
      </c>
      <c r="E242" t="s">
        <v>550</v>
      </c>
      <c r="F242" t="s">
        <v>551</v>
      </c>
      <c r="G242" t="s">
        <v>552</v>
      </c>
      <c r="H242" t="s">
        <v>553</v>
      </c>
      <c r="I242">
        <f>ROUND(1/10,9)</f>
        <v>0.1</v>
      </c>
      <c r="J242">
        <v>0</v>
      </c>
      <c r="O242">
        <f t="shared" si="200"/>
        <v>112.38</v>
      </c>
      <c r="P242">
        <f t="shared" si="201"/>
        <v>4.4400000000000004</v>
      </c>
      <c r="Q242">
        <f t="shared" si="202"/>
        <v>42.89</v>
      </c>
      <c r="R242">
        <f t="shared" si="203"/>
        <v>3.86</v>
      </c>
      <c r="S242">
        <f t="shared" si="204"/>
        <v>65.05</v>
      </c>
      <c r="T242">
        <f t="shared" si="205"/>
        <v>0</v>
      </c>
      <c r="U242">
        <f t="shared" si="206"/>
        <v>1.1288399999999998</v>
      </c>
      <c r="V242">
        <f t="shared" si="207"/>
        <v>5.3999999999999992E-2</v>
      </c>
      <c r="W242">
        <f t="shared" si="208"/>
        <v>0</v>
      </c>
      <c r="X242">
        <f t="shared" si="209"/>
        <v>79.25</v>
      </c>
      <c r="Y242">
        <f t="shared" si="210"/>
        <v>48.93</v>
      </c>
      <c r="AA242">
        <v>39476960</v>
      </c>
      <c r="AB242">
        <f t="shared" si="211"/>
        <v>183.32</v>
      </c>
      <c r="AC242">
        <f t="shared" si="212"/>
        <v>7.25</v>
      </c>
      <c r="AD242">
        <f>ROUND((((((ET242*1.25)*1.2))-(((EU242*1.25)*1.2)))+AE242),2)</f>
        <v>69.959999999999994</v>
      </c>
      <c r="AE242">
        <f>ROUND((((EU242*1.25)*1.2)),2)</f>
        <v>6.3</v>
      </c>
      <c r="AF242">
        <f>ROUND((((EV242*1.15)*1.2)),2)</f>
        <v>106.11</v>
      </c>
      <c r="AG242">
        <f t="shared" si="213"/>
        <v>0</v>
      </c>
      <c r="AH242">
        <f>(((EW242*1.15)*1.2))</f>
        <v>11.288399999999998</v>
      </c>
      <c r="AI242">
        <f>(((EX242*1.25)*1.2))</f>
        <v>0.53999999999999992</v>
      </c>
      <c r="AJ242">
        <f t="shared" si="214"/>
        <v>0</v>
      </c>
      <c r="AK242">
        <v>130.78</v>
      </c>
      <c r="AL242">
        <v>7.25</v>
      </c>
      <c r="AM242">
        <v>46.64</v>
      </c>
      <c r="AN242">
        <v>4.2</v>
      </c>
      <c r="AO242">
        <v>76.89</v>
      </c>
      <c r="AP242">
        <v>0</v>
      </c>
      <c r="AQ242">
        <v>8.18</v>
      </c>
      <c r="AR242">
        <v>0.36</v>
      </c>
      <c r="AS242">
        <v>0</v>
      </c>
      <c r="AT242">
        <v>115</v>
      </c>
      <c r="AU242">
        <v>71</v>
      </c>
      <c r="AV242">
        <v>1</v>
      </c>
      <c r="AW242">
        <v>1</v>
      </c>
      <c r="AZ242">
        <v>6.13</v>
      </c>
      <c r="BA242">
        <v>6.13</v>
      </c>
      <c r="BB242">
        <v>6.13</v>
      </c>
      <c r="BC242">
        <v>6.13</v>
      </c>
      <c r="BD242" t="s">
        <v>3</v>
      </c>
      <c r="BE242" t="s">
        <v>3</v>
      </c>
      <c r="BF242" t="s">
        <v>3</v>
      </c>
      <c r="BG242" t="s">
        <v>3</v>
      </c>
      <c r="BH242">
        <v>0</v>
      </c>
      <c r="BI242">
        <v>1</v>
      </c>
      <c r="BJ242" t="s">
        <v>554</v>
      </c>
      <c r="BM242">
        <v>18001</v>
      </c>
      <c r="BN242">
        <v>0</v>
      </c>
      <c r="BO242" t="s">
        <v>3</v>
      </c>
      <c r="BP242">
        <v>0</v>
      </c>
      <c r="BQ242">
        <v>2</v>
      </c>
      <c r="BR242">
        <v>0</v>
      </c>
      <c r="BS242">
        <v>6.13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128</v>
      </c>
      <c r="CA242">
        <v>83</v>
      </c>
      <c r="CF242">
        <v>0</v>
      </c>
      <c r="CG242">
        <v>0</v>
      </c>
      <c r="CM242">
        <v>0</v>
      </c>
      <c r="CN242" t="s">
        <v>1274</v>
      </c>
      <c r="CO242">
        <v>0</v>
      </c>
      <c r="CP242">
        <f t="shared" si="215"/>
        <v>112.38</v>
      </c>
      <c r="CQ242">
        <f t="shared" si="216"/>
        <v>44.442500000000003</v>
      </c>
      <c r="CR242">
        <f t="shared" si="217"/>
        <v>428.85479999999995</v>
      </c>
      <c r="CS242">
        <f t="shared" si="218"/>
        <v>38.619</v>
      </c>
      <c r="CT242">
        <f t="shared" si="219"/>
        <v>650.45429999999999</v>
      </c>
      <c r="CU242">
        <f t="shared" si="220"/>
        <v>0</v>
      </c>
      <c r="CV242">
        <f t="shared" si="221"/>
        <v>11.288399999999998</v>
      </c>
      <c r="CW242">
        <f t="shared" si="222"/>
        <v>0.53999999999999992</v>
      </c>
      <c r="CX242">
        <f t="shared" si="223"/>
        <v>0</v>
      </c>
      <c r="CY242">
        <f t="shared" si="224"/>
        <v>79.246499999999997</v>
      </c>
      <c r="CZ242">
        <f t="shared" si="225"/>
        <v>48.926099999999998</v>
      </c>
      <c r="DC242" t="s">
        <v>3</v>
      </c>
      <c r="DD242" t="s">
        <v>3</v>
      </c>
      <c r="DE242" t="s">
        <v>53</v>
      </c>
      <c r="DF242" t="s">
        <v>53</v>
      </c>
      <c r="DG242" t="s">
        <v>54</v>
      </c>
      <c r="DH242" t="s">
        <v>3</v>
      </c>
      <c r="DI242" t="s">
        <v>54</v>
      </c>
      <c r="DJ242" t="s">
        <v>53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1013</v>
      </c>
      <c r="DV242" t="s">
        <v>553</v>
      </c>
      <c r="DW242" t="s">
        <v>553</v>
      </c>
      <c r="DX242">
        <v>1</v>
      </c>
      <c r="EE242">
        <v>39174532</v>
      </c>
      <c r="EF242">
        <v>2</v>
      </c>
      <c r="EG242" t="s">
        <v>13</v>
      </c>
      <c r="EH242">
        <v>0</v>
      </c>
      <c r="EI242" t="s">
        <v>3</v>
      </c>
      <c r="EJ242">
        <v>1</v>
      </c>
      <c r="EK242">
        <v>18001</v>
      </c>
      <c r="EL242" t="s">
        <v>544</v>
      </c>
      <c r="EM242" t="s">
        <v>545</v>
      </c>
      <c r="EO242" t="s">
        <v>89</v>
      </c>
      <c r="EQ242">
        <v>0</v>
      </c>
      <c r="ER242">
        <v>130.78</v>
      </c>
      <c r="ES242">
        <v>7.25</v>
      </c>
      <c r="ET242">
        <v>46.64</v>
      </c>
      <c r="EU242">
        <v>4.2</v>
      </c>
      <c r="EV242">
        <v>76.89</v>
      </c>
      <c r="EW242">
        <v>8.18</v>
      </c>
      <c r="EX242">
        <v>0.36</v>
      </c>
      <c r="EY242">
        <v>0</v>
      </c>
      <c r="FQ242">
        <v>0</v>
      </c>
      <c r="FR242">
        <f t="shared" si="226"/>
        <v>0</v>
      </c>
      <c r="FS242">
        <v>0</v>
      </c>
      <c r="FT242" t="s">
        <v>29</v>
      </c>
      <c r="FU242" t="s">
        <v>30</v>
      </c>
      <c r="FX242">
        <v>115.2</v>
      </c>
      <c r="FY242">
        <v>70.55</v>
      </c>
      <c r="GA242" t="s">
        <v>3</v>
      </c>
      <c r="GD242">
        <v>0</v>
      </c>
      <c r="GF242">
        <v>126317247</v>
      </c>
      <c r="GG242">
        <v>1</v>
      </c>
      <c r="GH242">
        <v>1</v>
      </c>
      <c r="GI242">
        <v>4</v>
      </c>
      <c r="GJ242">
        <v>0</v>
      </c>
      <c r="GK242">
        <f>ROUND(R242*(R12)/100,2)</f>
        <v>0</v>
      </c>
      <c r="GL242">
        <f t="shared" si="227"/>
        <v>0</v>
      </c>
      <c r="GM242">
        <f t="shared" si="228"/>
        <v>240.56</v>
      </c>
      <c r="GN242">
        <f t="shared" si="229"/>
        <v>240.56</v>
      </c>
      <c r="GO242">
        <f t="shared" si="230"/>
        <v>0</v>
      </c>
      <c r="GP242">
        <f t="shared" si="231"/>
        <v>0</v>
      </c>
      <c r="GR242">
        <v>0</v>
      </c>
      <c r="GS242">
        <v>3</v>
      </c>
      <c r="GT242">
        <v>0</v>
      </c>
      <c r="GU242" t="s">
        <v>3</v>
      </c>
      <c r="GV242">
        <f t="shared" si="232"/>
        <v>0</v>
      </c>
      <c r="GW242">
        <v>1</v>
      </c>
      <c r="GX242">
        <f t="shared" si="233"/>
        <v>0</v>
      </c>
      <c r="HA242">
        <v>0</v>
      </c>
      <c r="HB242">
        <v>0</v>
      </c>
      <c r="IK242">
        <v>0</v>
      </c>
    </row>
    <row r="243" spans="1:245" x14ac:dyDescent="0.2">
      <c r="A243">
        <v>18</v>
      </c>
      <c r="B243">
        <v>1</v>
      </c>
      <c r="C243">
        <v>429</v>
      </c>
      <c r="E243" t="s">
        <v>555</v>
      </c>
      <c r="F243" t="s">
        <v>556</v>
      </c>
      <c r="G243" t="s">
        <v>557</v>
      </c>
      <c r="H243" t="s">
        <v>415</v>
      </c>
      <c r="I243">
        <f>I242*J243</f>
        <v>1</v>
      </c>
      <c r="J243">
        <v>10</v>
      </c>
      <c r="O243">
        <f t="shared" si="200"/>
        <v>1980.79</v>
      </c>
      <c r="P243">
        <f t="shared" si="201"/>
        <v>1980.79</v>
      </c>
      <c r="Q243">
        <f t="shared" si="202"/>
        <v>0</v>
      </c>
      <c r="R243">
        <f t="shared" si="203"/>
        <v>0</v>
      </c>
      <c r="S243">
        <f t="shared" si="204"/>
        <v>0</v>
      </c>
      <c r="T243">
        <f t="shared" si="205"/>
        <v>0</v>
      </c>
      <c r="U243">
        <f t="shared" si="206"/>
        <v>0</v>
      </c>
      <c r="V243">
        <f t="shared" si="207"/>
        <v>0</v>
      </c>
      <c r="W243">
        <f t="shared" si="208"/>
        <v>0</v>
      </c>
      <c r="X243">
        <f t="shared" si="209"/>
        <v>0</v>
      </c>
      <c r="Y243">
        <f t="shared" si="210"/>
        <v>0</v>
      </c>
      <c r="AA243">
        <v>39476960</v>
      </c>
      <c r="AB243">
        <f t="shared" si="211"/>
        <v>323.13</v>
      </c>
      <c r="AC243">
        <f t="shared" si="212"/>
        <v>323.13</v>
      </c>
      <c r="AD243">
        <f>ROUND((((ET243)-(EU243))+AE243),2)</f>
        <v>0</v>
      </c>
      <c r="AE243">
        <f>ROUND((EU243),2)</f>
        <v>0</v>
      </c>
      <c r="AF243">
        <f>ROUND((EV243),2)</f>
        <v>0</v>
      </c>
      <c r="AG243">
        <f t="shared" si="213"/>
        <v>0</v>
      </c>
      <c r="AH243">
        <f>(EW243)</f>
        <v>0</v>
      </c>
      <c r="AI243">
        <f>(EX243)</f>
        <v>0</v>
      </c>
      <c r="AJ243">
        <f t="shared" si="214"/>
        <v>0</v>
      </c>
      <c r="AK243">
        <v>323.13</v>
      </c>
      <c r="AL243">
        <v>323.13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115</v>
      </c>
      <c r="AU243">
        <v>71</v>
      </c>
      <c r="AV243">
        <v>1</v>
      </c>
      <c r="AW243">
        <v>1</v>
      </c>
      <c r="AZ243">
        <v>6.13</v>
      </c>
      <c r="BA243">
        <v>1</v>
      </c>
      <c r="BB243">
        <v>1</v>
      </c>
      <c r="BC243">
        <v>6.13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1</v>
      </c>
      <c r="BJ243" t="s">
        <v>558</v>
      </c>
      <c r="BM243">
        <v>18001</v>
      </c>
      <c r="BN243">
        <v>0</v>
      </c>
      <c r="BO243" t="s">
        <v>3</v>
      </c>
      <c r="BP243">
        <v>0</v>
      </c>
      <c r="BQ243">
        <v>2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128</v>
      </c>
      <c r="CA243">
        <v>83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215"/>
        <v>1980.79</v>
      </c>
      <c r="CQ243">
        <f t="shared" si="216"/>
        <v>1980.7868999999998</v>
      </c>
      <c r="CR243">
        <f t="shared" si="217"/>
        <v>0</v>
      </c>
      <c r="CS243">
        <f t="shared" si="218"/>
        <v>0</v>
      </c>
      <c r="CT243">
        <f t="shared" si="219"/>
        <v>0</v>
      </c>
      <c r="CU243">
        <f t="shared" si="220"/>
        <v>0</v>
      </c>
      <c r="CV243">
        <f t="shared" si="221"/>
        <v>0</v>
      </c>
      <c r="CW243">
        <f t="shared" si="222"/>
        <v>0</v>
      </c>
      <c r="CX243">
        <f t="shared" si="223"/>
        <v>0</v>
      </c>
      <c r="CY243">
        <f t="shared" si="224"/>
        <v>0</v>
      </c>
      <c r="CZ243">
        <f t="shared" si="225"/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1010</v>
      </c>
      <c r="DV243" t="s">
        <v>415</v>
      </c>
      <c r="DW243" t="s">
        <v>415</v>
      </c>
      <c r="DX243">
        <v>1</v>
      </c>
      <c r="EE243">
        <v>39174532</v>
      </c>
      <c r="EF243">
        <v>2</v>
      </c>
      <c r="EG243" t="s">
        <v>13</v>
      </c>
      <c r="EH243">
        <v>0</v>
      </c>
      <c r="EI243" t="s">
        <v>3</v>
      </c>
      <c r="EJ243">
        <v>1</v>
      </c>
      <c r="EK243">
        <v>18001</v>
      </c>
      <c r="EL243" t="s">
        <v>544</v>
      </c>
      <c r="EM243" t="s">
        <v>545</v>
      </c>
      <c r="EO243" t="s">
        <v>3</v>
      </c>
      <c r="EQ243">
        <v>0</v>
      </c>
      <c r="ER243">
        <v>323.13</v>
      </c>
      <c r="ES243">
        <v>323.13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226"/>
        <v>0</v>
      </c>
      <c r="FS243">
        <v>0</v>
      </c>
      <c r="FT243" t="s">
        <v>29</v>
      </c>
      <c r="FU243" t="s">
        <v>30</v>
      </c>
      <c r="FX243">
        <v>115.2</v>
      </c>
      <c r="FY243">
        <v>70.55</v>
      </c>
      <c r="GA243" t="s">
        <v>3</v>
      </c>
      <c r="GD243">
        <v>0</v>
      </c>
      <c r="GF243">
        <v>870605364</v>
      </c>
      <c r="GG243">
        <v>1</v>
      </c>
      <c r="GH243">
        <v>1</v>
      </c>
      <c r="GI243">
        <v>4</v>
      </c>
      <c r="GJ243">
        <v>0</v>
      </c>
      <c r="GK243">
        <f>ROUND(R243*(R12)/100,2)</f>
        <v>0</v>
      </c>
      <c r="GL243">
        <f t="shared" si="227"/>
        <v>0</v>
      </c>
      <c r="GM243">
        <f t="shared" si="228"/>
        <v>1980.79</v>
      </c>
      <c r="GN243">
        <f t="shared" si="229"/>
        <v>1980.79</v>
      </c>
      <c r="GO243">
        <f t="shared" si="230"/>
        <v>0</v>
      </c>
      <c r="GP243">
        <f t="shared" si="231"/>
        <v>0</v>
      </c>
      <c r="GR243">
        <v>0</v>
      </c>
      <c r="GS243">
        <v>3</v>
      </c>
      <c r="GT243">
        <v>0</v>
      </c>
      <c r="GU243" t="s">
        <v>3</v>
      </c>
      <c r="GV243">
        <f t="shared" si="232"/>
        <v>0</v>
      </c>
      <c r="GW243">
        <v>1</v>
      </c>
      <c r="GX243">
        <f t="shared" si="233"/>
        <v>0</v>
      </c>
      <c r="HA243">
        <v>0</v>
      </c>
      <c r="HB243">
        <v>0</v>
      </c>
      <c r="IK243">
        <v>0</v>
      </c>
    </row>
    <row r="244" spans="1:245" x14ac:dyDescent="0.2">
      <c r="A244">
        <v>18</v>
      </c>
      <c r="B244">
        <v>1</v>
      </c>
      <c r="C244">
        <v>430</v>
      </c>
      <c r="E244" t="s">
        <v>559</v>
      </c>
      <c r="F244" t="s">
        <v>560</v>
      </c>
      <c r="G244" t="s">
        <v>561</v>
      </c>
      <c r="H244" t="s">
        <v>415</v>
      </c>
      <c r="I244">
        <f>I242*J244</f>
        <v>1</v>
      </c>
      <c r="J244">
        <v>10</v>
      </c>
      <c r="O244">
        <f t="shared" si="200"/>
        <v>0</v>
      </c>
      <c r="P244">
        <f t="shared" si="201"/>
        <v>0</v>
      </c>
      <c r="Q244">
        <f t="shared" si="202"/>
        <v>0</v>
      </c>
      <c r="R244">
        <f t="shared" si="203"/>
        <v>0</v>
      </c>
      <c r="S244">
        <f t="shared" si="204"/>
        <v>0</v>
      </c>
      <c r="T244">
        <f t="shared" si="205"/>
        <v>0</v>
      </c>
      <c r="U244">
        <f t="shared" si="206"/>
        <v>0</v>
      </c>
      <c r="V244">
        <f t="shared" si="207"/>
        <v>0</v>
      </c>
      <c r="W244">
        <f t="shared" si="208"/>
        <v>0</v>
      </c>
      <c r="X244">
        <f t="shared" si="209"/>
        <v>0</v>
      </c>
      <c r="Y244">
        <f t="shared" si="210"/>
        <v>0</v>
      </c>
      <c r="AA244">
        <v>39476960</v>
      </c>
      <c r="AB244">
        <f t="shared" si="211"/>
        <v>0</v>
      </c>
      <c r="AC244">
        <f t="shared" si="212"/>
        <v>0</v>
      </c>
      <c r="AD244">
        <f>ROUND((((ET244)-(EU244))+AE244),2)</f>
        <v>0</v>
      </c>
      <c r="AE244">
        <f>ROUND((EU244),2)</f>
        <v>0</v>
      </c>
      <c r="AF244">
        <f>ROUND((EV244),2)</f>
        <v>0</v>
      </c>
      <c r="AG244">
        <f t="shared" si="213"/>
        <v>0</v>
      </c>
      <c r="AH244">
        <f>(EW244)</f>
        <v>0</v>
      </c>
      <c r="AI244">
        <f>(EX244)</f>
        <v>0</v>
      </c>
      <c r="AJ244">
        <f t="shared" si="214"/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115</v>
      </c>
      <c r="AU244">
        <v>71</v>
      </c>
      <c r="AV244">
        <v>1</v>
      </c>
      <c r="AW244">
        <v>1</v>
      </c>
      <c r="AZ244">
        <v>6.13</v>
      </c>
      <c r="BA244">
        <v>1</v>
      </c>
      <c r="BB244">
        <v>1</v>
      </c>
      <c r="BC244">
        <v>6.13</v>
      </c>
      <c r="BD244" t="s">
        <v>3</v>
      </c>
      <c r="BE244" t="s">
        <v>3</v>
      </c>
      <c r="BF244" t="s">
        <v>3</v>
      </c>
      <c r="BG244" t="s">
        <v>3</v>
      </c>
      <c r="BH244">
        <v>3</v>
      </c>
      <c r="BI244">
        <v>1</v>
      </c>
      <c r="BJ244" t="s">
        <v>3</v>
      </c>
      <c r="BM244">
        <v>18001</v>
      </c>
      <c r="BN244">
        <v>0</v>
      </c>
      <c r="BO244" t="s">
        <v>3</v>
      </c>
      <c r="BP244">
        <v>0</v>
      </c>
      <c r="BQ244">
        <v>2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128</v>
      </c>
      <c r="CA244">
        <v>83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15"/>
        <v>0</v>
      </c>
      <c r="CQ244">
        <f t="shared" si="216"/>
        <v>0</v>
      </c>
      <c r="CR244">
        <f t="shared" si="217"/>
        <v>0</v>
      </c>
      <c r="CS244">
        <f t="shared" si="218"/>
        <v>0</v>
      </c>
      <c r="CT244">
        <f t="shared" si="219"/>
        <v>0</v>
      </c>
      <c r="CU244">
        <f t="shared" si="220"/>
        <v>0</v>
      </c>
      <c r="CV244">
        <f t="shared" si="221"/>
        <v>0</v>
      </c>
      <c r="CW244">
        <f t="shared" si="222"/>
        <v>0</v>
      </c>
      <c r="CX244">
        <f t="shared" si="223"/>
        <v>0</v>
      </c>
      <c r="CY244">
        <f t="shared" si="224"/>
        <v>0</v>
      </c>
      <c r="CZ244">
        <f t="shared" si="225"/>
        <v>0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1010</v>
      </c>
      <c r="DV244" t="s">
        <v>415</v>
      </c>
      <c r="DW244" t="s">
        <v>415</v>
      </c>
      <c r="DX244">
        <v>1</v>
      </c>
      <c r="EE244">
        <v>39174532</v>
      </c>
      <c r="EF244">
        <v>2</v>
      </c>
      <c r="EG244" t="s">
        <v>13</v>
      </c>
      <c r="EH244">
        <v>0</v>
      </c>
      <c r="EI244" t="s">
        <v>3</v>
      </c>
      <c r="EJ244">
        <v>1</v>
      </c>
      <c r="EK244">
        <v>18001</v>
      </c>
      <c r="EL244" t="s">
        <v>544</v>
      </c>
      <c r="EM244" t="s">
        <v>545</v>
      </c>
      <c r="EO244" t="s">
        <v>3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FQ244">
        <v>0</v>
      </c>
      <c r="FR244">
        <f t="shared" si="226"/>
        <v>0</v>
      </c>
      <c r="FS244">
        <v>0</v>
      </c>
      <c r="FT244" t="s">
        <v>29</v>
      </c>
      <c r="FU244" t="s">
        <v>30</v>
      </c>
      <c r="FX244">
        <v>115.2</v>
      </c>
      <c r="FY244">
        <v>70.55</v>
      </c>
      <c r="GA244" t="s">
        <v>3</v>
      </c>
      <c r="GD244">
        <v>0</v>
      </c>
      <c r="GF244">
        <v>1124120566</v>
      </c>
      <c r="GG244">
        <v>1</v>
      </c>
      <c r="GH244">
        <v>1</v>
      </c>
      <c r="GI244">
        <v>4</v>
      </c>
      <c r="GJ244">
        <v>0</v>
      </c>
      <c r="GK244">
        <f>ROUND(R244*(R12)/100,2)</f>
        <v>0</v>
      </c>
      <c r="GL244">
        <f t="shared" si="227"/>
        <v>0</v>
      </c>
      <c r="GM244">
        <f t="shared" si="228"/>
        <v>0</v>
      </c>
      <c r="GN244">
        <f t="shared" si="229"/>
        <v>0</v>
      </c>
      <c r="GO244">
        <f t="shared" si="230"/>
        <v>0</v>
      </c>
      <c r="GP244">
        <f t="shared" si="231"/>
        <v>0</v>
      </c>
      <c r="GR244">
        <v>0</v>
      </c>
      <c r="GS244">
        <v>3</v>
      </c>
      <c r="GT244">
        <v>0</v>
      </c>
      <c r="GU244" t="s">
        <v>3</v>
      </c>
      <c r="GV244">
        <f t="shared" si="232"/>
        <v>0</v>
      </c>
      <c r="GW244">
        <v>1</v>
      </c>
      <c r="GX244">
        <f t="shared" si="233"/>
        <v>0</v>
      </c>
      <c r="HA244">
        <v>0</v>
      </c>
      <c r="HB244">
        <v>0</v>
      </c>
      <c r="IK244">
        <v>0</v>
      </c>
    </row>
    <row r="245" spans="1:245" x14ac:dyDescent="0.2">
      <c r="A245">
        <v>17</v>
      </c>
      <c r="B245">
        <v>1</v>
      </c>
      <c r="C245">
        <f>ROW(SmtRes!A441)</f>
        <v>441</v>
      </c>
      <c r="D245">
        <f>ROW(EtalonRes!A409)</f>
        <v>409</v>
      </c>
      <c r="E245" t="s">
        <v>562</v>
      </c>
      <c r="F245" t="s">
        <v>563</v>
      </c>
      <c r="G245" t="s">
        <v>564</v>
      </c>
      <c r="H245" t="s">
        <v>553</v>
      </c>
      <c r="I245">
        <f>ROUND(4/10,9)</f>
        <v>0.4</v>
      </c>
      <c r="J245">
        <v>0</v>
      </c>
      <c r="O245">
        <f t="shared" si="200"/>
        <v>254.78</v>
      </c>
      <c r="P245">
        <f t="shared" si="201"/>
        <v>26.92</v>
      </c>
      <c r="Q245">
        <f t="shared" si="202"/>
        <v>0</v>
      </c>
      <c r="R245">
        <f t="shared" si="203"/>
        <v>0</v>
      </c>
      <c r="S245">
        <f t="shared" si="204"/>
        <v>227.86</v>
      </c>
      <c r="T245">
        <f t="shared" si="205"/>
        <v>0</v>
      </c>
      <c r="U245">
        <f t="shared" si="206"/>
        <v>3.8640000000000003</v>
      </c>
      <c r="V245">
        <f t="shared" si="207"/>
        <v>0</v>
      </c>
      <c r="W245">
        <f t="shared" si="208"/>
        <v>0</v>
      </c>
      <c r="X245">
        <f t="shared" si="209"/>
        <v>262.04000000000002</v>
      </c>
      <c r="Y245">
        <f t="shared" si="210"/>
        <v>161.78</v>
      </c>
      <c r="AA245">
        <v>39476960</v>
      </c>
      <c r="AB245">
        <f t="shared" si="211"/>
        <v>103.91</v>
      </c>
      <c r="AC245">
        <f t="shared" si="212"/>
        <v>10.98</v>
      </c>
      <c r="AD245">
        <f>ROUND((((((ET245*1.2)*1.25))-(((EU245*1.2)*1.25)))+AE245),2)</f>
        <v>0</v>
      </c>
      <c r="AE245">
        <f>ROUND((((EU245*1.2)*1.25)),2)</f>
        <v>0</v>
      </c>
      <c r="AF245">
        <f>ROUND((((EV245*1.2)*1.15)),2)</f>
        <v>92.93</v>
      </c>
      <c r="AG245">
        <f t="shared" si="213"/>
        <v>0</v>
      </c>
      <c r="AH245">
        <f>(((EW245*1.2)*1.15))</f>
        <v>9.66</v>
      </c>
      <c r="AI245">
        <f>(((EX245*1.2)*1.25))</f>
        <v>0</v>
      </c>
      <c r="AJ245">
        <f t="shared" si="214"/>
        <v>0</v>
      </c>
      <c r="AK245">
        <v>78.319999999999993</v>
      </c>
      <c r="AL245">
        <v>10.98</v>
      </c>
      <c r="AM245">
        <v>0</v>
      </c>
      <c r="AN245">
        <v>0</v>
      </c>
      <c r="AO245">
        <v>67.34</v>
      </c>
      <c r="AP245">
        <v>0</v>
      </c>
      <c r="AQ245">
        <v>7</v>
      </c>
      <c r="AR245">
        <v>0</v>
      </c>
      <c r="AS245">
        <v>0</v>
      </c>
      <c r="AT245">
        <v>115</v>
      </c>
      <c r="AU245">
        <v>71</v>
      </c>
      <c r="AV245">
        <v>1</v>
      </c>
      <c r="AW245">
        <v>1</v>
      </c>
      <c r="AZ245">
        <v>6.13</v>
      </c>
      <c r="BA245">
        <v>6.13</v>
      </c>
      <c r="BB245">
        <v>6.13</v>
      </c>
      <c r="BC245">
        <v>6.13</v>
      </c>
      <c r="BD245" t="s">
        <v>3</v>
      </c>
      <c r="BE245" t="s">
        <v>3</v>
      </c>
      <c r="BF245" t="s">
        <v>3</v>
      </c>
      <c r="BG245" t="s">
        <v>3</v>
      </c>
      <c r="BH245">
        <v>0</v>
      </c>
      <c r="BI245">
        <v>1</v>
      </c>
      <c r="BJ245" t="s">
        <v>565</v>
      </c>
      <c r="BM245">
        <v>17001</v>
      </c>
      <c r="BN245">
        <v>0</v>
      </c>
      <c r="BO245" t="s">
        <v>3</v>
      </c>
      <c r="BP245">
        <v>0</v>
      </c>
      <c r="BQ245">
        <v>2</v>
      </c>
      <c r="BR245">
        <v>0</v>
      </c>
      <c r="BS245">
        <v>6.13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128</v>
      </c>
      <c r="CA245">
        <v>83</v>
      </c>
      <c r="CF245">
        <v>0</v>
      </c>
      <c r="CG245">
        <v>0</v>
      </c>
      <c r="CM245">
        <v>0</v>
      </c>
      <c r="CN245" t="s">
        <v>1277</v>
      </c>
      <c r="CO245">
        <v>0</v>
      </c>
      <c r="CP245">
        <f t="shared" si="215"/>
        <v>254.78000000000003</v>
      </c>
      <c r="CQ245">
        <f t="shared" si="216"/>
        <v>67.307400000000001</v>
      </c>
      <c r="CR245">
        <f t="shared" si="217"/>
        <v>0</v>
      </c>
      <c r="CS245">
        <f t="shared" si="218"/>
        <v>0</v>
      </c>
      <c r="CT245">
        <f t="shared" si="219"/>
        <v>569.66090000000008</v>
      </c>
      <c r="CU245">
        <f t="shared" si="220"/>
        <v>0</v>
      </c>
      <c r="CV245">
        <f t="shared" si="221"/>
        <v>9.66</v>
      </c>
      <c r="CW245">
        <f t="shared" si="222"/>
        <v>0</v>
      </c>
      <c r="CX245">
        <f t="shared" si="223"/>
        <v>0</v>
      </c>
      <c r="CY245">
        <f t="shared" si="224"/>
        <v>262.03899999999999</v>
      </c>
      <c r="CZ245">
        <f t="shared" si="225"/>
        <v>161.78060000000002</v>
      </c>
      <c r="DC245" t="s">
        <v>3</v>
      </c>
      <c r="DD245" t="s">
        <v>3</v>
      </c>
      <c r="DE245" t="s">
        <v>566</v>
      </c>
      <c r="DF245" t="s">
        <v>566</v>
      </c>
      <c r="DG245" t="s">
        <v>567</v>
      </c>
      <c r="DH245" t="s">
        <v>3</v>
      </c>
      <c r="DI245" t="s">
        <v>567</v>
      </c>
      <c r="DJ245" t="s">
        <v>566</v>
      </c>
      <c r="DK245" t="s">
        <v>3</v>
      </c>
      <c r="DL245" t="s">
        <v>3</v>
      </c>
      <c r="DM245" t="s">
        <v>3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553</v>
      </c>
      <c r="DW245" t="s">
        <v>553</v>
      </c>
      <c r="DX245">
        <v>1</v>
      </c>
      <c r="EE245">
        <v>39174531</v>
      </c>
      <c r="EF245">
        <v>2</v>
      </c>
      <c r="EG245" t="s">
        <v>13</v>
      </c>
      <c r="EH245">
        <v>0</v>
      </c>
      <c r="EI245" t="s">
        <v>3</v>
      </c>
      <c r="EJ245">
        <v>1</v>
      </c>
      <c r="EK245">
        <v>17001</v>
      </c>
      <c r="EL245" t="s">
        <v>568</v>
      </c>
      <c r="EM245" t="s">
        <v>569</v>
      </c>
      <c r="EO245" t="s">
        <v>570</v>
      </c>
      <c r="EQ245">
        <v>0</v>
      </c>
      <c r="ER245">
        <v>78.319999999999993</v>
      </c>
      <c r="ES245">
        <v>10.98</v>
      </c>
      <c r="ET245">
        <v>0</v>
      </c>
      <c r="EU245">
        <v>0</v>
      </c>
      <c r="EV245">
        <v>67.34</v>
      </c>
      <c r="EW245">
        <v>7</v>
      </c>
      <c r="EX245">
        <v>0</v>
      </c>
      <c r="EY245">
        <v>0</v>
      </c>
      <c r="FQ245">
        <v>0</v>
      </c>
      <c r="FR245">
        <f t="shared" si="226"/>
        <v>0</v>
      </c>
      <c r="FS245">
        <v>0</v>
      </c>
      <c r="FT245" t="s">
        <v>29</v>
      </c>
      <c r="FU245" t="s">
        <v>30</v>
      </c>
      <c r="FX245">
        <v>115.2</v>
      </c>
      <c r="FY245">
        <v>70.55</v>
      </c>
      <c r="GA245" t="s">
        <v>3</v>
      </c>
      <c r="GD245">
        <v>0</v>
      </c>
      <c r="GF245">
        <v>725969486</v>
      </c>
      <c r="GG245">
        <v>1</v>
      </c>
      <c r="GH245">
        <v>1</v>
      </c>
      <c r="GI245">
        <v>4</v>
      </c>
      <c r="GJ245">
        <v>0</v>
      </c>
      <c r="GK245">
        <f>ROUND(R245*(R12)/100,2)</f>
        <v>0</v>
      </c>
      <c r="GL245">
        <f t="shared" si="227"/>
        <v>0</v>
      </c>
      <c r="GM245">
        <f t="shared" si="228"/>
        <v>678.6</v>
      </c>
      <c r="GN245">
        <f t="shared" si="229"/>
        <v>678.6</v>
      </c>
      <c r="GO245">
        <f t="shared" si="230"/>
        <v>0</v>
      </c>
      <c r="GP245">
        <f t="shared" si="231"/>
        <v>0</v>
      </c>
      <c r="GR245">
        <v>0</v>
      </c>
      <c r="GS245">
        <v>3</v>
      </c>
      <c r="GT245">
        <v>0</v>
      </c>
      <c r="GU245" t="s">
        <v>3</v>
      </c>
      <c r="GV245">
        <f t="shared" si="232"/>
        <v>0</v>
      </c>
      <c r="GW245">
        <v>1</v>
      </c>
      <c r="GX245">
        <f t="shared" si="233"/>
        <v>0</v>
      </c>
      <c r="HA245">
        <v>0</v>
      </c>
      <c r="HB245">
        <v>0</v>
      </c>
      <c r="IK245">
        <v>0</v>
      </c>
    </row>
    <row r="246" spans="1:245" x14ac:dyDescent="0.2">
      <c r="A246">
        <v>18</v>
      </c>
      <c r="B246">
        <v>1</v>
      </c>
      <c r="C246">
        <v>434</v>
      </c>
      <c r="E246" t="s">
        <v>571</v>
      </c>
      <c r="F246" t="s">
        <v>572</v>
      </c>
      <c r="G246" t="s">
        <v>573</v>
      </c>
      <c r="H246" t="s">
        <v>429</v>
      </c>
      <c r="I246">
        <f>I245*J246</f>
        <v>0.08</v>
      </c>
      <c r="J246">
        <v>0.19999999999999998</v>
      </c>
      <c r="O246">
        <f t="shared" si="200"/>
        <v>14.52</v>
      </c>
      <c r="P246">
        <f t="shared" si="201"/>
        <v>14.52</v>
      </c>
      <c r="Q246">
        <f t="shared" si="202"/>
        <v>0</v>
      </c>
      <c r="R246">
        <f t="shared" si="203"/>
        <v>0</v>
      </c>
      <c r="S246">
        <f t="shared" si="204"/>
        <v>0</v>
      </c>
      <c r="T246">
        <f t="shared" si="205"/>
        <v>0</v>
      </c>
      <c r="U246">
        <f t="shared" si="206"/>
        <v>0</v>
      </c>
      <c r="V246">
        <f t="shared" si="207"/>
        <v>0</v>
      </c>
      <c r="W246">
        <f t="shared" si="208"/>
        <v>0</v>
      </c>
      <c r="X246">
        <f t="shared" si="209"/>
        <v>0</v>
      </c>
      <c r="Y246">
        <f t="shared" si="210"/>
        <v>0</v>
      </c>
      <c r="AA246">
        <v>39476960</v>
      </c>
      <c r="AB246">
        <f t="shared" si="211"/>
        <v>29.6</v>
      </c>
      <c r="AC246">
        <f t="shared" si="212"/>
        <v>29.6</v>
      </c>
      <c r="AD246">
        <f t="shared" ref="AD246:AD254" si="236">ROUND((((ET246)-(EU246))+AE246),2)</f>
        <v>0</v>
      </c>
      <c r="AE246">
        <f t="shared" ref="AE246:AE254" si="237">ROUND((EU246),2)</f>
        <v>0</v>
      </c>
      <c r="AF246">
        <f t="shared" ref="AF246:AF254" si="238">ROUND((EV246),2)</f>
        <v>0</v>
      </c>
      <c r="AG246">
        <f t="shared" si="213"/>
        <v>0</v>
      </c>
      <c r="AH246">
        <f t="shared" ref="AH246:AH254" si="239">(EW246)</f>
        <v>0</v>
      </c>
      <c r="AI246">
        <f t="shared" ref="AI246:AI254" si="240">(EX246)</f>
        <v>0</v>
      </c>
      <c r="AJ246">
        <f t="shared" si="214"/>
        <v>0</v>
      </c>
      <c r="AK246">
        <v>29.6</v>
      </c>
      <c r="AL246">
        <v>29.6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115</v>
      </c>
      <c r="AU246">
        <v>71</v>
      </c>
      <c r="AV246">
        <v>1</v>
      </c>
      <c r="AW246">
        <v>1</v>
      </c>
      <c r="AZ246">
        <v>6.13</v>
      </c>
      <c r="BA246">
        <v>1</v>
      </c>
      <c r="BB246">
        <v>1</v>
      </c>
      <c r="BC246">
        <v>6.13</v>
      </c>
      <c r="BD246" t="s">
        <v>3</v>
      </c>
      <c r="BE246" t="s">
        <v>3</v>
      </c>
      <c r="BF246" t="s">
        <v>3</v>
      </c>
      <c r="BG246" t="s">
        <v>3</v>
      </c>
      <c r="BH246">
        <v>3</v>
      </c>
      <c r="BI246">
        <v>1</v>
      </c>
      <c r="BJ246" t="s">
        <v>574</v>
      </c>
      <c r="BM246">
        <v>17001</v>
      </c>
      <c r="BN246">
        <v>0</v>
      </c>
      <c r="BO246" t="s">
        <v>3</v>
      </c>
      <c r="BP246">
        <v>0</v>
      </c>
      <c r="BQ246">
        <v>2</v>
      </c>
      <c r="BR246">
        <v>0</v>
      </c>
      <c r="BS246">
        <v>1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128</v>
      </c>
      <c r="CA246">
        <v>83</v>
      </c>
      <c r="CF246">
        <v>0</v>
      </c>
      <c r="CG246">
        <v>0</v>
      </c>
      <c r="CM246">
        <v>0</v>
      </c>
      <c r="CN246" t="s">
        <v>3</v>
      </c>
      <c r="CO246">
        <v>0</v>
      </c>
      <c r="CP246">
        <f t="shared" si="215"/>
        <v>14.52</v>
      </c>
      <c r="CQ246">
        <f t="shared" si="216"/>
        <v>181.44800000000001</v>
      </c>
      <c r="CR246">
        <f t="shared" si="217"/>
        <v>0</v>
      </c>
      <c r="CS246">
        <f t="shared" si="218"/>
        <v>0</v>
      </c>
      <c r="CT246">
        <f t="shared" si="219"/>
        <v>0</v>
      </c>
      <c r="CU246">
        <f t="shared" si="220"/>
        <v>0</v>
      </c>
      <c r="CV246">
        <f t="shared" si="221"/>
        <v>0</v>
      </c>
      <c r="CW246">
        <f t="shared" si="222"/>
        <v>0</v>
      </c>
      <c r="CX246">
        <f t="shared" si="223"/>
        <v>0</v>
      </c>
      <c r="CY246">
        <f t="shared" si="224"/>
        <v>0</v>
      </c>
      <c r="CZ246">
        <f t="shared" si="225"/>
        <v>0</v>
      </c>
      <c r="DC246" t="s">
        <v>3</v>
      </c>
      <c r="DD246" t="s">
        <v>3</v>
      </c>
      <c r="DE246" t="s">
        <v>3</v>
      </c>
      <c r="DF246" t="s">
        <v>3</v>
      </c>
      <c r="DG246" t="s">
        <v>3</v>
      </c>
      <c r="DH246" t="s">
        <v>3</v>
      </c>
      <c r="DI246" t="s">
        <v>3</v>
      </c>
      <c r="DJ246" t="s">
        <v>3</v>
      </c>
      <c r="DK246" t="s">
        <v>3</v>
      </c>
      <c r="DL246" t="s">
        <v>3</v>
      </c>
      <c r="DM246" t="s">
        <v>3</v>
      </c>
      <c r="DN246">
        <v>0</v>
      </c>
      <c r="DO246">
        <v>0</v>
      </c>
      <c r="DP246">
        <v>1</v>
      </c>
      <c r="DQ246">
        <v>1</v>
      </c>
      <c r="DU246">
        <v>1010</v>
      </c>
      <c r="DV246" t="s">
        <v>429</v>
      </c>
      <c r="DW246" t="s">
        <v>429</v>
      </c>
      <c r="DX246">
        <v>100</v>
      </c>
      <c r="EE246">
        <v>39174531</v>
      </c>
      <c r="EF246">
        <v>2</v>
      </c>
      <c r="EG246" t="s">
        <v>13</v>
      </c>
      <c r="EH246">
        <v>0</v>
      </c>
      <c r="EI246" t="s">
        <v>3</v>
      </c>
      <c r="EJ246">
        <v>1</v>
      </c>
      <c r="EK246">
        <v>17001</v>
      </c>
      <c r="EL246" t="s">
        <v>568</v>
      </c>
      <c r="EM246" t="s">
        <v>569</v>
      </c>
      <c r="EO246" t="s">
        <v>3</v>
      </c>
      <c r="EQ246">
        <v>0</v>
      </c>
      <c r="ER246">
        <v>29.6</v>
      </c>
      <c r="ES246">
        <v>29.6</v>
      </c>
      <c r="ET246">
        <v>0</v>
      </c>
      <c r="EU246">
        <v>0</v>
      </c>
      <c r="EV246">
        <v>0</v>
      </c>
      <c r="EW246">
        <v>0</v>
      </c>
      <c r="EX246">
        <v>0</v>
      </c>
      <c r="FQ246">
        <v>0</v>
      </c>
      <c r="FR246">
        <f t="shared" si="226"/>
        <v>0</v>
      </c>
      <c r="FS246">
        <v>0</v>
      </c>
      <c r="FT246" t="s">
        <v>29</v>
      </c>
      <c r="FU246" t="s">
        <v>30</v>
      </c>
      <c r="FX246">
        <v>115.2</v>
      </c>
      <c r="FY246">
        <v>70.55</v>
      </c>
      <c r="GA246" t="s">
        <v>3</v>
      </c>
      <c r="GD246">
        <v>0</v>
      </c>
      <c r="GF246">
        <v>-1390362517</v>
      </c>
      <c r="GG246">
        <v>1</v>
      </c>
      <c r="GH246">
        <v>1</v>
      </c>
      <c r="GI246">
        <v>4</v>
      </c>
      <c r="GJ246">
        <v>0</v>
      </c>
      <c r="GK246">
        <f>ROUND(R246*(R12)/100,2)</f>
        <v>0</v>
      </c>
      <c r="GL246">
        <f t="shared" si="227"/>
        <v>0</v>
      </c>
      <c r="GM246">
        <f t="shared" si="228"/>
        <v>14.52</v>
      </c>
      <c r="GN246">
        <f t="shared" si="229"/>
        <v>14.52</v>
      </c>
      <c r="GO246">
        <f t="shared" si="230"/>
        <v>0</v>
      </c>
      <c r="GP246">
        <f t="shared" si="231"/>
        <v>0</v>
      </c>
      <c r="GR246">
        <v>0</v>
      </c>
      <c r="GS246">
        <v>3</v>
      </c>
      <c r="GT246">
        <v>0</v>
      </c>
      <c r="GU246" t="s">
        <v>3</v>
      </c>
      <c r="GV246">
        <f t="shared" si="232"/>
        <v>0</v>
      </c>
      <c r="GW246">
        <v>1</v>
      </c>
      <c r="GX246">
        <f t="shared" si="233"/>
        <v>0</v>
      </c>
      <c r="HA246">
        <v>0</v>
      </c>
      <c r="HB246">
        <v>0</v>
      </c>
      <c r="IK246">
        <v>0</v>
      </c>
    </row>
    <row r="247" spans="1:245" x14ac:dyDescent="0.2">
      <c r="A247">
        <v>18</v>
      </c>
      <c r="B247">
        <v>1</v>
      </c>
      <c r="C247">
        <v>438</v>
      </c>
      <c r="E247" t="s">
        <v>575</v>
      </c>
      <c r="F247" t="s">
        <v>576</v>
      </c>
      <c r="G247" t="s">
        <v>577</v>
      </c>
      <c r="H247" t="s">
        <v>152</v>
      </c>
      <c r="I247">
        <f>I245*J247</f>
        <v>1</v>
      </c>
      <c r="J247">
        <v>2.5</v>
      </c>
      <c r="O247">
        <f t="shared" si="200"/>
        <v>732.96</v>
      </c>
      <c r="P247">
        <f t="shared" si="201"/>
        <v>732.96</v>
      </c>
      <c r="Q247">
        <f t="shared" si="202"/>
        <v>0</v>
      </c>
      <c r="R247">
        <f t="shared" si="203"/>
        <v>0</v>
      </c>
      <c r="S247">
        <f t="shared" si="204"/>
        <v>0</v>
      </c>
      <c r="T247">
        <f t="shared" si="205"/>
        <v>0</v>
      </c>
      <c r="U247">
        <f t="shared" si="206"/>
        <v>0</v>
      </c>
      <c r="V247">
        <f t="shared" si="207"/>
        <v>0</v>
      </c>
      <c r="W247">
        <f t="shared" si="208"/>
        <v>0</v>
      </c>
      <c r="X247">
        <f t="shared" si="209"/>
        <v>0</v>
      </c>
      <c r="Y247">
        <f t="shared" si="210"/>
        <v>0</v>
      </c>
      <c r="AA247">
        <v>39476960</v>
      </c>
      <c r="AB247">
        <f t="shared" si="211"/>
        <v>119.57</v>
      </c>
      <c r="AC247">
        <f t="shared" si="212"/>
        <v>119.57</v>
      </c>
      <c r="AD247">
        <f t="shared" si="236"/>
        <v>0</v>
      </c>
      <c r="AE247">
        <f t="shared" si="237"/>
        <v>0</v>
      </c>
      <c r="AF247">
        <f t="shared" si="238"/>
        <v>0</v>
      </c>
      <c r="AG247">
        <f t="shared" si="213"/>
        <v>0</v>
      </c>
      <c r="AH247">
        <f t="shared" si="239"/>
        <v>0</v>
      </c>
      <c r="AI247">
        <f t="shared" si="240"/>
        <v>0</v>
      </c>
      <c r="AJ247">
        <f t="shared" si="214"/>
        <v>0</v>
      </c>
      <c r="AK247">
        <v>119.57</v>
      </c>
      <c r="AL247">
        <v>119.57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115</v>
      </c>
      <c r="AU247">
        <v>71</v>
      </c>
      <c r="AV247">
        <v>1</v>
      </c>
      <c r="AW247">
        <v>1</v>
      </c>
      <c r="AZ247">
        <v>6.13</v>
      </c>
      <c r="BA247">
        <v>1</v>
      </c>
      <c r="BB247">
        <v>1</v>
      </c>
      <c r="BC247">
        <v>6.13</v>
      </c>
      <c r="BD247" t="s">
        <v>3</v>
      </c>
      <c r="BE247" t="s">
        <v>3</v>
      </c>
      <c r="BF247" t="s">
        <v>3</v>
      </c>
      <c r="BG247" t="s">
        <v>3</v>
      </c>
      <c r="BH247">
        <v>3</v>
      </c>
      <c r="BI247">
        <v>1</v>
      </c>
      <c r="BJ247" t="s">
        <v>578</v>
      </c>
      <c r="BM247">
        <v>17001</v>
      </c>
      <c r="BN247">
        <v>0</v>
      </c>
      <c r="BO247" t="s">
        <v>3</v>
      </c>
      <c r="BP247">
        <v>0</v>
      </c>
      <c r="BQ247">
        <v>2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128</v>
      </c>
      <c r="CA247">
        <v>83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si="215"/>
        <v>732.96</v>
      </c>
      <c r="CQ247">
        <f t="shared" si="216"/>
        <v>732.96409999999992</v>
      </c>
      <c r="CR247">
        <f t="shared" si="217"/>
        <v>0</v>
      </c>
      <c r="CS247">
        <f t="shared" si="218"/>
        <v>0</v>
      </c>
      <c r="CT247">
        <f t="shared" si="219"/>
        <v>0</v>
      </c>
      <c r="CU247">
        <f t="shared" si="220"/>
        <v>0</v>
      </c>
      <c r="CV247">
        <f t="shared" si="221"/>
        <v>0</v>
      </c>
      <c r="CW247">
        <f t="shared" si="222"/>
        <v>0</v>
      </c>
      <c r="CX247">
        <f t="shared" si="223"/>
        <v>0</v>
      </c>
      <c r="CY247">
        <f t="shared" si="224"/>
        <v>0</v>
      </c>
      <c r="CZ247">
        <f t="shared" si="225"/>
        <v>0</v>
      </c>
      <c r="DC247" t="s">
        <v>3</v>
      </c>
      <c r="DD247" t="s">
        <v>3</v>
      </c>
      <c r="DE247" t="s">
        <v>3</v>
      </c>
      <c r="DF247" t="s">
        <v>3</v>
      </c>
      <c r="DG247" t="s">
        <v>3</v>
      </c>
      <c r="DH247" t="s">
        <v>3</v>
      </c>
      <c r="DI247" t="s">
        <v>3</v>
      </c>
      <c r="DJ247" t="s">
        <v>3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152</v>
      </c>
      <c r="DW247" t="s">
        <v>152</v>
      </c>
      <c r="DX247">
        <v>1</v>
      </c>
      <c r="EE247">
        <v>39174531</v>
      </c>
      <c r="EF247">
        <v>2</v>
      </c>
      <c r="EG247" t="s">
        <v>13</v>
      </c>
      <c r="EH247">
        <v>0</v>
      </c>
      <c r="EI247" t="s">
        <v>3</v>
      </c>
      <c r="EJ247">
        <v>1</v>
      </c>
      <c r="EK247">
        <v>17001</v>
      </c>
      <c r="EL247" t="s">
        <v>568</v>
      </c>
      <c r="EM247" t="s">
        <v>569</v>
      </c>
      <c r="EO247" t="s">
        <v>3</v>
      </c>
      <c r="EQ247">
        <v>0</v>
      </c>
      <c r="ER247">
        <v>119.57</v>
      </c>
      <c r="ES247">
        <v>119.57</v>
      </c>
      <c r="ET247">
        <v>0</v>
      </c>
      <c r="EU247">
        <v>0</v>
      </c>
      <c r="EV247">
        <v>0</v>
      </c>
      <c r="EW247">
        <v>0</v>
      </c>
      <c r="EX247">
        <v>0</v>
      </c>
      <c r="FQ247">
        <v>0</v>
      </c>
      <c r="FR247">
        <f t="shared" si="226"/>
        <v>0</v>
      </c>
      <c r="FS247">
        <v>0</v>
      </c>
      <c r="FT247" t="s">
        <v>29</v>
      </c>
      <c r="FU247" t="s">
        <v>30</v>
      </c>
      <c r="FX247">
        <v>115.2</v>
      </c>
      <c r="FY247">
        <v>70.55</v>
      </c>
      <c r="GA247" t="s">
        <v>3</v>
      </c>
      <c r="GD247">
        <v>0</v>
      </c>
      <c r="GF247">
        <v>-2141538427</v>
      </c>
      <c r="GG247">
        <v>1</v>
      </c>
      <c r="GH247">
        <v>1</v>
      </c>
      <c r="GI247">
        <v>4</v>
      </c>
      <c r="GJ247">
        <v>0</v>
      </c>
      <c r="GK247">
        <f>ROUND(R247*(R12)/100,2)</f>
        <v>0</v>
      </c>
      <c r="GL247">
        <f t="shared" si="227"/>
        <v>0</v>
      </c>
      <c r="GM247">
        <f t="shared" si="228"/>
        <v>732.96</v>
      </c>
      <c r="GN247">
        <f t="shared" si="229"/>
        <v>732.96</v>
      </c>
      <c r="GO247">
        <f t="shared" si="230"/>
        <v>0</v>
      </c>
      <c r="GP247">
        <f t="shared" si="231"/>
        <v>0</v>
      </c>
      <c r="GR247">
        <v>0</v>
      </c>
      <c r="GS247">
        <v>3</v>
      </c>
      <c r="GT247">
        <v>0</v>
      </c>
      <c r="GU247" t="s">
        <v>3</v>
      </c>
      <c r="GV247">
        <f t="shared" si="232"/>
        <v>0</v>
      </c>
      <c r="GW247">
        <v>1</v>
      </c>
      <c r="GX247">
        <f t="shared" si="233"/>
        <v>0</v>
      </c>
      <c r="HA247">
        <v>0</v>
      </c>
      <c r="HB247">
        <v>0</v>
      </c>
      <c r="IK247">
        <v>0</v>
      </c>
    </row>
    <row r="248" spans="1:245" x14ac:dyDescent="0.2">
      <c r="A248">
        <v>18</v>
      </c>
      <c r="B248">
        <v>1</v>
      </c>
      <c r="C248">
        <v>440</v>
      </c>
      <c r="E248" t="s">
        <v>579</v>
      </c>
      <c r="F248" t="s">
        <v>580</v>
      </c>
      <c r="G248" t="s">
        <v>581</v>
      </c>
      <c r="H248" t="s">
        <v>415</v>
      </c>
      <c r="I248">
        <f>I245*J248</f>
        <v>2</v>
      </c>
      <c r="J248">
        <v>5</v>
      </c>
      <c r="O248">
        <f t="shared" si="200"/>
        <v>1753.18</v>
      </c>
      <c r="P248">
        <f t="shared" si="201"/>
        <v>1753.18</v>
      </c>
      <c r="Q248">
        <f t="shared" si="202"/>
        <v>0</v>
      </c>
      <c r="R248">
        <f t="shared" si="203"/>
        <v>0</v>
      </c>
      <c r="S248">
        <f t="shared" si="204"/>
        <v>0</v>
      </c>
      <c r="T248">
        <f t="shared" si="205"/>
        <v>0</v>
      </c>
      <c r="U248">
        <f t="shared" si="206"/>
        <v>0</v>
      </c>
      <c r="V248">
        <f t="shared" si="207"/>
        <v>0</v>
      </c>
      <c r="W248">
        <f t="shared" si="208"/>
        <v>0</v>
      </c>
      <c r="X248">
        <f t="shared" si="209"/>
        <v>0</v>
      </c>
      <c r="Y248">
        <f t="shared" si="210"/>
        <v>0</v>
      </c>
      <c r="AA248">
        <v>39476960</v>
      </c>
      <c r="AB248">
        <f t="shared" si="211"/>
        <v>143</v>
      </c>
      <c r="AC248">
        <f t="shared" si="212"/>
        <v>143</v>
      </c>
      <c r="AD248">
        <f t="shared" si="236"/>
        <v>0</v>
      </c>
      <c r="AE248">
        <f t="shared" si="237"/>
        <v>0</v>
      </c>
      <c r="AF248">
        <f t="shared" si="238"/>
        <v>0</v>
      </c>
      <c r="AG248">
        <f t="shared" si="213"/>
        <v>0</v>
      </c>
      <c r="AH248">
        <f t="shared" si="239"/>
        <v>0</v>
      </c>
      <c r="AI248">
        <f t="shared" si="240"/>
        <v>0</v>
      </c>
      <c r="AJ248">
        <f t="shared" si="214"/>
        <v>0</v>
      </c>
      <c r="AK248">
        <v>143</v>
      </c>
      <c r="AL248">
        <v>143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115</v>
      </c>
      <c r="AU248">
        <v>71</v>
      </c>
      <c r="AV248">
        <v>1</v>
      </c>
      <c r="AW248">
        <v>1</v>
      </c>
      <c r="AZ248">
        <v>6.13</v>
      </c>
      <c r="BA248">
        <v>1</v>
      </c>
      <c r="BB248">
        <v>1</v>
      </c>
      <c r="BC248">
        <v>6.13</v>
      </c>
      <c r="BD248" t="s">
        <v>3</v>
      </c>
      <c r="BE248" t="s">
        <v>3</v>
      </c>
      <c r="BF248" t="s">
        <v>3</v>
      </c>
      <c r="BG248" t="s">
        <v>3</v>
      </c>
      <c r="BH248">
        <v>3</v>
      </c>
      <c r="BI248">
        <v>1</v>
      </c>
      <c r="BJ248" t="s">
        <v>582</v>
      </c>
      <c r="BM248">
        <v>17001</v>
      </c>
      <c r="BN248">
        <v>0</v>
      </c>
      <c r="BO248" t="s">
        <v>3</v>
      </c>
      <c r="BP248">
        <v>0</v>
      </c>
      <c r="BQ248">
        <v>2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128</v>
      </c>
      <c r="CA248">
        <v>83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215"/>
        <v>1753.18</v>
      </c>
      <c r="CQ248">
        <f t="shared" si="216"/>
        <v>876.59</v>
      </c>
      <c r="CR248">
        <f t="shared" si="217"/>
        <v>0</v>
      </c>
      <c r="CS248">
        <f t="shared" si="218"/>
        <v>0</v>
      </c>
      <c r="CT248">
        <f t="shared" si="219"/>
        <v>0</v>
      </c>
      <c r="CU248">
        <f t="shared" si="220"/>
        <v>0</v>
      </c>
      <c r="CV248">
        <f t="shared" si="221"/>
        <v>0</v>
      </c>
      <c r="CW248">
        <f t="shared" si="222"/>
        <v>0</v>
      </c>
      <c r="CX248">
        <f t="shared" si="223"/>
        <v>0</v>
      </c>
      <c r="CY248">
        <f t="shared" si="224"/>
        <v>0</v>
      </c>
      <c r="CZ248">
        <f t="shared" si="225"/>
        <v>0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1010</v>
      </c>
      <c r="DV248" t="s">
        <v>415</v>
      </c>
      <c r="DW248" t="s">
        <v>415</v>
      </c>
      <c r="DX248">
        <v>1</v>
      </c>
      <c r="EE248">
        <v>39174531</v>
      </c>
      <c r="EF248">
        <v>2</v>
      </c>
      <c r="EG248" t="s">
        <v>13</v>
      </c>
      <c r="EH248">
        <v>0</v>
      </c>
      <c r="EI248" t="s">
        <v>3</v>
      </c>
      <c r="EJ248">
        <v>1</v>
      </c>
      <c r="EK248">
        <v>17001</v>
      </c>
      <c r="EL248" t="s">
        <v>568</v>
      </c>
      <c r="EM248" t="s">
        <v>569</v>
      </c>
      <c r="EO248" t="s">
        <v>3</v>
      </c>
      <c r="EQ248">
        <v>0</v>
      </c>
      <c r="ER248">
        <v>143</v>
      </c>
      <c r="ES248">
        <v>143</v>
      </c>
      <c r="ET248">
        <v>0</v>
      </c>
      <c r="EU248">
        <v>0</v>
      </c>
      <c r="EV248">
        <v>0</v>
      </c>
      <c r="EW248">
        <v>0</v>
      </c>
      <c r="EX248">
        <v>0</v>
      </c>
      <c r="FQ248">
        <v>0</v>
      </c>
      <c r="FR248">
        <f t="shared" si="226"/>
        <v>0</v>
      </c>
      <c r="FS248">
        <v>0</v>
      </c>
      <c r="FT248" t="s">
        <v>29</v>
      </c>
      <c r="FU248" t="s">
        <v>30</v>
      </c>
      <c r="FX248">
        <v>115.2</v>
      </c>
      <c r="FY248">
        <v>70.55</v>
      </c>
      <c r="GA248" t="s">
        <v>3</v>
      </c>
      <c r="GD248">
        <v>0</v>
      </c>
      <c r="GF248">
        <v>-670089820</v>
      </c>
      <c r="GG248">
        <v>1</v>
      </c>
      <c r="GH248">
        <v>1</v>
      </c>
      <c r="GI248">
        <v>4</v>
      </c>
      <c r="GJ248">
        <v>0</v>
      </c>
      <c r="GK248">
        <f>ROUND(R248*(R12)/100,2)</f>
        <v>0</v>
      </c>
      <c r="GL248">
        <f t="shared" si="227"/>
        <v>0</v>
      </c>
      <c r="GM248">
        <f t="shared" si="228"/>
        <v>1753.18</v>
      </c>
      <c r="GN248">
        <f t="shared" si="229"/>
        <v>1753.18</v>
      </c>
      <c r="GO248">
        <f t="shared" si="230"/>
        <v>0</v>
      </c>
      <c r="GP248">
        <f t="shared" si="231"/>
        <v>0</v>
      </c>
      <c r="GR248">
        <v>0</v>
      </c>
      <c r="GS248">
        <v>3</v>
      </c>
      <c r="GT248">
        <v>0</v>
      </c>
      <c r="GU248" t="s">
        <v>3</v>
      </c>
      <c r="GV248">
        <f t="shared" si="232"/>
        <v>0</v>
      </c>
      <c r="GW248">
        <v>1</v>
      </c>
      <c r="GX248">
        <f t="shared" si="233"/>
        <v>0</v>
      </c>
      <c r="HA248">
        <v>0</v>
      </c>
      <c r="HB248">
        <v>0</v>
      </c>
      <c r="IK248">
        <v>0</v>
      </c>
    </row>
    <row r="249" spans="1:245" x14ac:dyDescent="0.2">
      <c r="A249">
        <v>18</v>
      </c>
      <c r="B249">
        <v>1</v>
      </c>
      <c r="C249">
        <v>439</v>
      </c>
      <c r="E249" t="s">
        <v>583</v>
      </c>
      <c r="F249" t="s">
        <v>584</v>
      </c>
      <c r="G249" t="s">
        <v>585</v>
      </c>
      <c r="H249" t="s">
        <v>152</v>
      </c>
      <c r="I249">
        <f>I245*J249</f>
        <v>1</v>
      </c>
      <c r="J249">
        <v>2.5</v>
      </c>
      <c r="O249">
        <f t="shared" si="200"/>
        <v>534.35</v>
      </c>
      <c r="P249">
        <f t="shared" si="201"/>
        <v>534.35</v>
      </c>
      <c r="Q249">
        <f t="shared" si="202"/>
        <v>0</v>
      </c>
      <c r="R249">
        <f t="shared" si="203"/>
        <v>0</v>
      </c>
      <c r="S249">
        <f t="shared" si="204"/>
        <v>0</v>
      </c>
      <c r="T249">
        <f t="shared" si="205"/>
        <v>0</v>
      </c>
      <c r="U249">
        <f t="shared" si="206"/>
        <v>0</v>
      </c>
      <c r="V249">
        <f t="shared" si="207"/>
        <v>0</v>
      </c>
      <c r="W249">
        <f t="shared" si="208"/>
        <v>0</v>
      </c>
      <c r="X249">
        <f t="shared" si="209"/>
        <v>0</v>
      </c>
      <c r="Y249">
        <f t="shared" si="210"/>
        <v>0</v>
      </c>
      <c r="AA249">
        <v>39476960</v>
      </c>
      <c r="AB249">
        <f t="shared" si="211"/>
        <v>87.17</v>
      </c>
      <c r="AC249">
        <f t="shared" si="212"/>
        <v>87.17</v>
      </c>
      <c r="AD249">
        <f t="shared" si="236"/>
        <v>0</v>
      </c>
      <c r="AE249">
        <f t="shared" si="237"/>
        <v>0</v>
      </c>
      <c r="AF249">
        <f t="shared" si="238"/>
        <v>0</v>
      </c>
      <c r="AG249">
        <f t="shared" si="213"/>
        <v>0</v>
      </c>
      <c r="AH249">
        <f t="shared" si="239"/>
        <v>0</v>
      </c>
      <c r="AI249">
        <f t="shared" si="240"/>
        <v>0</v>
      </c>
      <c r="AJ249">
        <f t="shared" si="214"/>
        <v>0</v>
      </c>
      <c r="AK249">
        <v>87.17</v>
      </c>
      <c r="AL249">
        <v>87.17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115</v>
      </c>
      <c r="AU249">
        <v>71</v>
      </c>
      <c r="AV249">
        <v>1</v>
      </c>
      <c r="AW249">
        <v>1</v>
      </c>
      <c r="AZ249">
        <v>6.13</v>
      </c>
      <c r="BA249">
        <v>1</v>
      </c>
      <c r="BB249">
        <v>1</v>
      </c>
      <c r="BC249">
        <v>6.13</v>
      </c>
      <c r="BD249" t="s">
        <v>3</v>
      </c>
      <c r="BE249" t="s">
        <v>3</v>
      </c>
      <c r="BF249" t="s">
        <v>3</v>
      </c>
      <c r="BG249" t="s">
        <v>3</v>
      </c>
      <c r="BH249">
        <v>3</v>
      </c>
      <c r="BI249">
        <v>1</v>
      </c>
      <c r="BJ249" t="s">
        <v>586</v>
      </c>
      <c r="BM249">
        <v>17001</v>
      </c>
      <c r="BN249">
        <v>0</v>
      </c>
      <c r="BO249" t="s">
        <v>3</v>
      </c>
      <c r="BP249">
        <v>0</v>
      </c>
      <c r="BQ249">
        <v>2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128</v>
      </c>
      <c r="CA249">
        <v>83</v>
      </c>
      <c r="CF249">
        <v>0</v>
      </c>
      <c r="CG249">
        <v>0</v>
      </c>
      <c r="CM249">
        <v>0</v>
      </c>
      <c r="CN249" t="s">
        <v>3</v>
      </c>
      <c r="CO249">
        <v>0</v>
      </c>
      <c r="CP249">
        <f t="shared" si="215"/>
        <v>534.35</v>
      </c>
      <c r="CQ249">
        <f t="shared" si="216"/>
        <v>534.35209999999995</v>
      </c>
      <c r="CR249">
        <f t="shared" si="217"/>
        <v>0</v>
      </c>
      <c r="CS249">
        <f t="shared" si="218"/>
        <v>0</v>
      </c>
      <c r="CT249">
        <f t="shared" si="219"/>
        <v>0</v>
      </c>
      <c r="CU249">
        <f t="shared" si="220"/>
        <v>0</v>
      </c>
      <c r="CV249">
        <f t="shared" si="221"/>
        <v>0</v>
      </c>
      <c r="CW249">
        <f t="shared" si="222"/>
        <v>0</v>
      </c>
      <c r="CX249">
        <f t="shared" si="223"/>
        <v>0</v>
      </c>
      <c r="CY249">
        <f t="shared" si="224"/>
        <v>0</v>
      </c>
      <c r="CZ249">
        <f t="shared" si="225"/>
        <v>0</v>
      </c>
      <c r="DC249" t="s">
        <v>3</v>
      </c>
      <c r="DD249" t="s">
        <v>3</v>
      </c>
      <c r="DE249" t="s">
        <v>3</v>
      </c>
      <c r="DF249" t="s">
        <v>3</v>
      </c>
      <c r="DG249" t="s">
        <v>3</v>
      </c>
      <c r="DH249" t="s">
        <v>3</v>
      </c>
      <c r="DI249" t="s">
        <v>3</v>
      </c>
      <c r="DJ249" t="s">
        <v>3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152</v>
      </c>
      <c r="DW249" t="s">
        <v>152</v>
      </c>
      <c r="DX249">
        <v>1</v>
      </c>
      <c r="EE249">
        <v>39174531</v>
      </c>
      <c r="EF249">
        <v>2</v>
      </c>
      <c r="EG249" t="s">
        <v>13</v>
      </c>
      <c r="EH249">
        <v>0</v>
      </c>
      <c r="EI249" t="s">
        <v>3</v>
      </c>
      <c r="EJ249">
        <v>1</v>
      </c>
      <c r="EK249">
        <v>17001</v>
      </c>
      <c r="EL249" t="s">
        <v>568</v>
      </c>
      <c r="EM249" t="s">
        <v>569</v>
      </c>
      <c r="EO249" t="s">
        <v>3</v>
      </c>
      <c r="EQ249">
        <v>0</v>
      </c>
      <c r="ER249">
        <v>87.17</v>
      </c>
      <c r="ES249">
        <v>87.17</v>
      </c>
      <c r="ET249">
        <v>0</v>
      </c>
      <c r="EU249">
        <v>0</v>
      </c>
      <c r="EV249">
        <v>0</v>
      </c>
      <c r="EW249">
        <v>0</v>
      </c>
      <c r="EX249">
        <v>0</v>
      </c>
      <c r="FQ249">
        <v>0</v>
      </c>
      <c r="FR249">
        <f t="shared" si="226"/>
        <v>0</v>
      </c>
      <c r="FS249">
        <v>0</v>
      </c>
      <c r="FT249" t="s">
        <v>29</v>
      </c>
      <c r="FU249" t="s">
        <v>30</v>
      </c>
      <c r="FX249">
        <v>115.2</v>
      </c>
      <c r="FY249">
        <v>70.55</v>
      </c>
      <c r="GA249" t="s">
        <v>3</v>
      </c>
      <c r="GD249">
        <v>0</v>
      </c>
      <c r="GF249">
        <v>-518659730</v>
      </c>
      <c r="GG249">
        <v>1</v>
      </c>
      <c r="GH249">
        <v>1</v>
      </c>
      <c r="GI249">
        <v>4</v>
      </c>
      <c r="GJ249">
        <v>0</v>
      </c>
      <c r="GK249">
        <f>ROUND(R249*(R12)/100,2)</f>
        <v>0</v>
      </c>
      <c r="GL249">
        <f t="shared" si="227"/>
        <v>0</v>
      </c>
      <c r="GM249">
        <f t="shared" si="228"/>
        <v>534.35</v>
      </c>
      <c r="GN249">
        <f t="shared" si="229"/>
        <v>534.35</v>
      </c>
      <c r="GO249">
        <f t="shared" si="230"/>
        <v>0</v>
      </c>
      <c r="GP249">
        <f t="shared" si="231"/>
        <v>0</v>
      </c>
      <c r="GR249">
        <v>0</v>
      </c>
      <c r="GS249">
        <v>3</v>
      </c>
      <c r="GT249">
        <v>0</v>
      </c>
      <c r="GU249" t="s">
        <v>3</v>
      </c>
      <c r="GV249">
        <f t="shared" si="232"/>
        <v>0</v>
      </c>
      <c r="GW249">
        <v>1</v>
      </c>
      <c r="GX249">
        <f t="shared" si="233"/>
        <v>0</v>
      </c>
      <c r="HA249">
        <v>0</v>
      </c>
      <c r="HB249">
        <v>0</v>
      </c>
      <c r="IK249">
        <v>0</v>
      </c>
    </row>
    <row r="250" spans="1:245" x14ac:dyDescent="0.2">
      <c r="A250">
        <v>18</v>
      </c>
      <c r="B250">
        <v>1</v>
      </c>
      <c r="C250">
        <v>441</v>
      </c>
      <c r="E250" t="s">
        <v>587</v>
      </c>
      <c r="F250" t="s">
        <v>588</v>
      </c>
      <c r="G250" t="s">
        <v>589</v>
      </c>
      <c r="H250" t="s">
        <v>160</v>
      </c>
      <c r="I250">
        <f>I245*J250</f>
        <v>0.8</v>
      </c>
      <c r="J250">
        <v>2</v>
      </c>
      <c r="O250">
        <f t="shared" si="200"/>
        <v>785.62</v>
      </c>
      <c r="P250">
        <f t="shared" si="201"/>
        <v>785.62</v>
      </c>
      <c r="Q250">
        <f t="shared" si="202"/>
        <v>0</v>
      </c>
      <c r="R250">
        <f t="shared" si="203"/>
        <v>0</v>
      </c>
      <c r="S250">
        <f t="shared" si="204"/>
        <v>0</v>
      </c>
      <c r="T250">
        <f t="shared" si="205"/>
        <v>0</v>
      </c>
      <c r="U250">
        <f t="shared" si="206"/>
        <v>0</v>
      </c>
      <c r="V250">
        <f t="shared" si="207"/>
        <v>0</v>
      </c>
      <c r="W250">
        <f t="shared" si="208"/>
        <v>0</v>
      </c>
      <c r="X250">
        <f t="shared" si="209"/>
        <v>0</v>
      </c>
      <c r="Y250">
        <f t="shared" si="210"/>
        <v>0</v>
      </c>
      <c r="AA250">
        <v>39476960</v>
      </c>
      <c r="AB250">
        <f t="shared" si="211"/>
        <v>160.19999999999999</v>
      </c>
      <c r="AC250">
        <f t="shared" si="212"/>
        <v>160.19999999999999</v>
      </c>
      <c r="AD250">
        <f t="shared" si="236"/>
        <v>0</v>
      </c>
      <c r="AE250">
        <f t="shared" si="237"/>
        <v>0</v>
      </c>
      <c r="AF250">
        <f t="shared" si="238"/>
        <v>0</v>
      </c>
      <c r="AG250">
        <f t="shared" si="213"/>
        <v>0</v>
      </c>
      <c r="AH250">
        <f t="shared" si="239"/>
        <v>0</v>
      </c>
      <c r="AI250">
        <f t="shared" si="240"/>
        <v>0</v>
      </c>
      <c r="AJ250">
        <f t="shared" si="214"/>
        <v>0</v>
      </c>
      <c r="AK250">
        <v>160.19999999999999</v>
      </c>
      <c r="AL250">
        <v>160.19999999999999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115</v>
      </c>
      <c r="AU250">
        <v>71</v>
      </c>
      <c r="AV250">
        <v>1</v>
      </c>
      <c r="AW250">
        <v>1</v>
      </c>
      <c r="AZ250">
        <v>6.13</v>
      </c>
      <c r="BA250">
        <v>1</v>
      </c>
      <c r="BB250">
        <v>1</v>
      </c>
      <c r="BC250">
        <v>6.13</v>
      </c>
      <c r="BD250" t="s">
        <v>3</v>
      </c>
      <c r="BE250" t="s">
        <v>3</v>
      </c>
      <c r="BF250" t="s">
        <v>3</v>
      </c>
      <c r="BG250" t="s">
        <v>3</v>
      </c>
      <c r="BH250">
        <v>3</v>
      </c>
      <c r="BI250">
        <v>1</v>
      </c>
      <c r="BJ250" t="s">
        <v>590</v>
      </c>
      <c r="BM250">
        <v>17001</v>
      </c>
      <c r="BN250">
        <v>0</v>
      </c>
      <c r="BO250" t="s">
        <v>3</v>
      </c>
      <c r="BP250">
        <v>0</v>
      </c>
      <c r="BQ250">
        <v>2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128</v>
      </c>
      <c r="CA250">
        <v>83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si="215"/>
        <v>785.62</v>
      </c>
      <c r="CQ250">
        <f t="shared" si="216"/>
        <v>982.02599999999995</v>
      </c>
      <c r="CR250">
        <f t="shared" si="217"/>
        <v>0</v>
      </c>
      <c r="CS250">
        <f t="shared" si="218"/>
        <v>0</v>
      </c>
      <c r="CT250">
        <f t="shared" si="219"/>
        <v>0</v>
      </c>
      <c r="CU250">
        <f t="shared" si="220"/>
        <v>0</v>
      </c>
      <c r="CV250">
        <f t="shared" si="221"/>
        <v>0</v>
      </c>
      <c r="CW250">
        <f t="shared" si="222"/>
        <v>0</v>
      </c>
      <c r="CX250">
        <f t="shared" si="223"/>
        <v>0</v>
      </c>
      <c r="CY250">
        <f t="shared" si="224"/>
        <v>0</v>
      </c>
      <c r="CZ250">
        <f t="shared" si="225"/>
        <v>0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160</v>
      </c>
      <c r="DW250" t="s">
        <v>160</v>
      </c>
      <c r="DX250">
        <v>10</v>
      </c>
      <c r="EE250">
        <v>39174531</v>
      </c>
      <c r="EF250">
        <v>2</v>
      </c>
      <c r="EG250" t="s">
        <v>13</v>
      </c>
      <c r="EH250">
        <v>0</v>
      </c>
      <c r="EI250" t="s">
        <v>3</v>
      </c>
      <c r="EJ250">
        <v>1</v>
      </c>
      <c r="EK250">
        <v>17001</v>
      </c>
      <c r="EL250" t="s">
        <v>568</v>
      </c>
      <c r="EM250" t="s">
        <v>569</v>
      </c>
      <c r="EO250" t="s">
        <v>3</v>
      </c>
      <c r="EQ250">
        <v>0</v>
      </c>
      <c r="ER250">
        <v>160.19999999999999</v>
      </c>
      <c r="ES250">
        <v>160.19999999999999</v>
      </c>
      <c r="ET250">
        <v>0</v>
      </c>
      <c r="EU250">
        <v>0</v>
      </c>
      <c r="EV250">
        <v>0</v>
      </c>
      <c r="EW250">
        <v>0</v>
      </c>
      <c r="EX250">
        <v>0</v>
      </c>
      <c r="FQ250">
        <v>0</v>
      </c>
      <c r="FR250">
        <f t="shared" si="226"/>
        <v>0</v>
      </c>
      <c r="FS250">
        <v>0</v>
      </c>
      <c r="FT250" t="s">
        <v>29</v>
      </c>
      <c r="FU250" t="s">
        <v>30</v>
      </c>
      <c r="FX250">
        <v>115.2</v>
      </c>
      <c r="FY250">
        <v>70.55</v>
      </c>
      <c r="GA250" t="s">
        <v>3</v>
      </c>
      <c r="GD250">
        <v>0</v>
      </c>
      <c r="GF250">
        <v>-62785007</v>
      </c>
      <c r="GG250">
        <v>1</v>
      </c>
      <c r="GH250">
        <v>1</v>
      </c>
      <c r="GI250">
        <v>4</v>
      </c>
      <c r="GJ250">
        <v>0</v>
      </c>
      <c r="GK250">
        <f>ROUND(R250*(R12)/100,2)</f>
        <v>0</v>
      </c>
      <c r="GL250">
        <f t="shared" si="227"/>
        <v>0</v>
      </c>
      <c r="GM250">
        <f t="shared" si="228"/>
        <v>785.62</v>
      </c>
      <c r="GN250">
        <f t="shared" si="229"/>
        <v>785.62</v>
      </c>
      <c r="GO250">
        <f t="shared" si="230"/>
        <v>0</v>
      </c>
      <c r="GP250">
        <f t="shared" si="231"/>
        <v>0</v>
      </c>
      <c r="GR250">
        <v>0</v>
      </c>
      <c r="GS250">
        <v>3</v>
      </c>
      <c r="GT250">
        <v>0</v>
      </c>
      <c r="GU250" t="s">
        <v>3</v>
      </c>
      <c r="GV250">
        <f t="shared" si="232"/>
        <v>0</v>
      </c>
      <c r="GW250">
        <v>1</v>
      </c>
      <c r="GX250">
        <f t="shared" si="233"/>
        <v>0</v>
      </c>
      <c r="HA250">
        <v>0</v>
      </c>
      <c r="HB250">
        <v>0</v>
      </c>
      <c r="IK250">
        <v>0</v>
      </c>
    </row>
    <row r="251" spans="1:245" x14ac:dyDescent="0.2">
      <c r="A251">
        <v>18</v>
      </c>
      <c r="B251">
        <v>1</v>
      </c>
      <c r="C251">
        <v>433</v>
      </c>
      <c r="E251" t="s">
        <v>591</v>
      </c>
      <c r="F251" t="s">
        <v>592</v>
      </c>
      <c r="G251" t="s">
        <v>593</v>
      </c>
      <c r="H251" t="s">
        <v>160</v>
      </c>
      <c r="I251">
        <f>I245*J251</f>
        <v>0.8</v>
      </c>
      <c r="J251">
        <v>2</v>
      </c>
      <c r="O251">
        <f t="shared" si="200"/>
        <v>0</v>
      </c>
      <c r="P251">
        <f t="shared" si="201"/>
        <v>0</v>
      </c>
      <c r="Q251">
        <f t="shared" si="202"/>
        <v>0</v>
      </c>
      <c r="R251">
        <f t="shared" si="203"/>
        <v>0</v>
      </c>
      <c r="S251">
        <f t="shared" si="204"/>
        <v>0</v>
      </c>
      <c r="T251">
        <f t="shared" si="205"/>
        <v>0</v>
      </c>
      <c r="U251">
        <f t="shared" si="206"/>
        <v>0</v>
      </c>
      <c r="V251">
        <f t="shared" si="207"/>
        <v>0</v>
      </c>
      <c r="W251">
        <f t="shared" si="208"/>
        <v>0</v>
      </c>
      <c r="X251">
        <f t="shared" si="209"/>
        <v>0</v>
      </c>
      <c r="Y251">
        <f t="shared" si="210"/>
        <v>0</v>
      </c>
      <c r="AA251">
        <v>39476960</v>
      </c>
      <c r="AB251">
        <f t="shared" si="211"/>
        <v>0</v>
      </c>
      <c r="AC251">
        <f t="shared" si="212"/>
        <v>0</v>
      </c>
      <c r="AD251">
        <f t="shared" si="236"/>
        <v>0</v>
      </c>
      <c r="AE251">
        <f t="shared" si="237"/>
        <v>0</v>
      </c>
      <c r="AF251">
        <f t="shared" si="238"/>
        <v>0</v>
      </c>
      <c r="AG251">
        <f t="shared" si="213"/>
        <v>0</v>
      </c>
      <c r="AH251">
        <f t="shared" si="239"/>
        <v>0</v>
      </c>
      <c r="AI251">
        <f t="shared" si="240"/>
        <v>0</v>
      </c>
      <c r="AJ251">
        <f t="shared" si="214"/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115</v>
      </c>
      <c r="AU251">
        <v>71</v>
      </c>
      <c r="AV251">
        <v>1</v>
      </c>
      <c r="AW251">
        <v>1</v>
      </c>
      <c r="AZ251">
        <v>6.13</v>
      </c>
      <c r="BA251">
        <v>1</v>
      </c>
      <c r="BB251">
        <v>1</v>
      </c>
      <c r="BC251">
        <v>6.13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1</v>
      </c>
      <c r="BJ251" t="s">
        <v>3</v>
      </c>
      <c r="BM251">
        <v>17001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128</v>
      </c>
      <c r="CA251">
        <v>83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15"/>
        <v>0</v>
      </c>
      <c r="CQ251">
        <f t="shared" si="216"/>
        <v>0</v>
      </c>
      <c r="CR251">
        <f t="shared" si="217"/>
        <v>0</v>
      </c>
      <c r="CS251">
        <f t="shared" si="218"/>
        <v>0</v>
      </c>
      <c r="CT251">
        <f t="shared" si="219"/>
        <v>0</v>
      </c>
      <c r="CU251">
        <f t="shared" si="220"/>
        <v>0</v>
      </c>
      <c r="CV251">
        <f t="shared" si="221"/>
        <v>0</v>
      </c>
      <c r="CW251">
        <f t="shared" si="222"/>
        <v>0</v>
      </c>
      <c r="CX251">
        <f t="shared" si="223"/>
        <v>0</v>
      </c>
      <c r="CY251">
        <f t="shared" si="224"/>
        <v>0</v>
      </c>
      <c r="CZ251">
        <f t="shared" si="225"/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160</v>
      </c>
      <c r="DW251" t="s">
        <v>160</v>
      </c>
      <c r="DX251">
        <v>10</v>
      </c>
      <c r="EE251">
        <v>39174531</v>
      </c>
      <c r="EF251">
        <v>2</v>
      </c>
      <c r="EG251" t="s">
        <v>13</v>
      </c>
      <c r="EH251">
        <v>0</v>
      </c>
      <c r="EI251" t="s">
        <v>3</v>
      </c>
      <c r="EJ251">
        <v>1</v>
      </c>
      <c r="EK251">
        <v>17001</v>
      </c>
      <c r="EL251" t="s">
        <v>568</v>
      </c>
      <c r="EM251" t="s">
        <v>569</v>
      </c>
      <c r="EO251" t="s">
        <v>3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26"/>
        <v>0</v>
      </c>
      <c r="FS251">
        <v>0</v>
      </c>
      <c r="FT251" t="s">
        <v>29</v>
      </c>
      <c r="FU251" t="s">
        <v>30</v>
      </c>
      <c r="FX251">
        <v>115.2</v>
      </c>
      <c r="FY251">
        <v>70.55</v>
      </c>
      <c r="GA251" t="s">
        <v>3</v>
      </c>
      <c r="GD251">
        <v>0</v>
      </c>
      <c r="GF251">
        <v>488433216</v>
      </c>
      <c r="GG251">
        <v>1</v>
      </c>
      <c r="GH251">
        <v>1</v>
      </c>
      <c r="GI251">
        <v>4</v>
      </c>
      <c r="GJ251">
        <v>0</v>
      </c>
      <c r="GK251">
        <f>ROUND(R251*(R12)/100,2)</f>
        <v>0</v>
      </c>
      <c r="GL251">
        <f t="shared" si="227"/>
        <v>0</v>
      </c>
      <c r="GM251">
        <f t="shared" si="228"/>
        <v>0</v>
      </c>
      <c r="GN251">
        <f t="shared" si="229"/>
        <v>0</v>
      </c>
      <c r="GO251">
        <f t="shared" si="230"/>
        <v>0</v>
      </c>
      <c r="GP251">
        <f t="shared" si="231"/>
        <v>0</v>
      </c>
      <c r="GR251">
        <v>0</v>
      </c>
      <c r="GS251">
        <v>3</v>
      </c>
      <c r="GT251">
        <v>0</v>
      </c>
      <c r="GU251" t="s">
        <v>3</v>
      </c>
      <c r="GV251">
        <f t="shared" si="232"/>
        <v>0</v>
      </c>
      <c r="GW251">
        <v>1</v>
      </c>
      <c r="GX251">
        <f t="shared" si="233"/>
        <v>0</v>
      </c>
      <c r="HA251">
        <v>0</v>
      </c>
      <c r="HB251">
        <v>0</v>
      </c>
      <c r="IK251">
        <v>0</v>
      </c>
    </row>
    <row r="252" spans="1:245" x14ac:dyDescent="0.2">
      <c r="A252">
        <v>18</v>
      </c>
      <c r="B252">
        <v>1</v>
      </c>
      <c r="C252">
        <v>437</v>
      </c>
      <c r="E252" t="s">
        <v>594</v>
      </c>
      <c r="F252" t="s">
        <v>595</v>
      </c>
      <c r="G252" t="s">
        <v>596</v>
      </c>
      <c r="H252" t="s">
        <v>415</v>
      </c>
      <c r="I252">
        <f>I245*J252</f>
        <v>4</v>
      </c>
      <c r="J252">
        <v>10</v>
      </c>
      <c r="O252">
        <f t="shared" si="200"/>
        <v>0</v>
      </c>
      <c r="P252">
        <f t="shared" si="201"/>
        <v>0</v>
      </c>
      <c r="Q252">
        <f t="shared" si="202"/>
        <v>0</v>
      </c>
      <c r="R252">
        <f t="shared" si="203"/>
        <v>0</v>
      </c>
      <c r="S252">
        <f t="shared" si="204"/>
        <v>0</v>
      </c>
      <c r="T252">
        <f t="shared" si="205"/>
        <v>0</v>
      </c>
      <c r="U252">
        <f t="shared" si="206"/>
        <v>0</v>
      </c>
      <c r="V252">
        <f t="shared" si="207"/>
        <v>0</v>
      </c>
      <c r="W252">
        <f t="shared" si="208"/>
        <v>0</v>
      </c>
      <c r="X252">
        <f t="shared" si="209"/>
        <v>0</v>
      </c>
      <c r="Y252">
        <f t="shared" si="210"/>
        <v>0</v>
      </c>
      <c r="AA252">
        <v>39476960</v>
      </c>
      <c r="AB252">
        <f t="shared" si="211"/>
        <v>0</v>
      </c>
      <c r="AC252">
        <f t="shared" si="212"/>
        <v>0</v>
      </c>
      <c r="AD252">
        <f t="shared" si="236"/>
        <v>0</v>
      </c>
      <c r="AE252">
        <f t="shared" si="237"/>
        <v>0</v>
      </c>
      <c r="AF252">
        <f t="shared" si="238"/>
        <v>0</v>
      </c>
      <c r="AG252">
        <f t="shared" si="213"/>
        <v>0</v>
      </c>
      <c r="AH252">
        <f t="shared" si="239"/>
        <v>0</v>
      </c>
      <c r="AI252">
        <f t="shared" si="240"/>
        <v>0</v>
      </c>
      <c r="AJ252">
        <f t="shared" si="214"/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115</v>
      </c>
      <c r="AU252">
        <v>71</v>
      </c>
      <c r="AV252">
        <v>1</v>
      </c>
      <c r="AW252">
        <v>1</v>
      </c>
      <c r="AZ252">
        <v>6.13</v>
      </c>
      <c r="BA252">
        <v>1</v>
      </c>
      <c r="BB252">
        <v>1</v>
      </c>
      <c r="BC252">
        <v>6.13</v>
      </c>
      <c r="BD252" t="s">
        <v>3</v>
      </c>
      <c r="BE252" t="s">
        <v>3</v>
      </c>
      <c r="BF252" t="s">
        <v>3</v>
      </c>
      <c r="BG252" t="s">
        <v>3</v>
      </c>
      <c r="BH252">
        <v>3</v>
      </c>
      <c r="BI252">
        <v>1</v>
      </c>
      <c r="BJ252" t="s">
        <v>3</v>
      </c>
      <c r="BM252">
        <v>17001</v>
      </c>
      <c r="BN252">
        <v>0</v>
      </c>
      <c r="BO252" t="s">
        <v>3</v>
      </c>
      <c r="BP252">
        <v>0</v>
      </c>
      <c r="BQ252">
        <v>2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128</v>
      </c>
      <c r="CA252">
        <v>83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215"/>
        <v>0</v>
      </c>
      <c r="CQ252">
        <f t="shared" si="216"/>
        <v>0</v>
      </c>
      <c r="CR252">
        <f t="shared" si="217"/>
        <v>0</v>
      </c>
      <c r="CS252">
        <f t="shared" si="218"/>
        <v>0</v>
      </c>
      <c r="CT252">
        <f t="shared" si="219"/>
        <v>0</v>
      </c>
      <c r="CU252">
        <f t="shared" si="220"/>
        <v>0</v>
      </c>
      <c r="CV252">
        <f t="shared" si="221"/>
        <v>0</v>
      </c>
      <c r="CW252">
        <f t="shared" si="222"/>
        <v>0</v>
      </c>
      <c r="CX252">
        <f t="shared" si="223"/>
        <v>0</v>
      </c>
      <c r="CY252">
        <f t="shared" si="224"/>
        <v>0</v>
      </c>
      <c r="CZ252">
        <f t="shared" si="225"/>
        <v>0</v>
      </c>
      <c r="DC252" t="s">
        <v>3</v>
      </c>
      <c r="DD252" t="s">
        <v>3</v>
      </c>
      <c r="DE252" t="s">
        <v>3</v>
      </c>
      <c r="DF252" t="s">
        <v>3</v>
      </c>
      <c r="DG252" t="s">
        <v>3</v>
      </c>
      <c r="DH252" t="s">
        <v>3</v>
      </c>
      <c r="DI252" t="s">
        <v>3</v>
      </c>
      <c r="DJ252" t="s">
        <v>3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1010</v>
      </c>
      <c r="DV252" t="s">
        <v>415</v>
      </c>
      <c r="DW252" t="s">
        <v>415</v>
      </c>
      <c r="DX252">
        <v>1</v>
      </c>
      <c r="EE252">
        <v>39174531</v>
      </c>
      <c r="EF252">
        <v>2</v>
      </c>
      <c r="EG252" t="s">
        <v>13</v>
      </c>
      <c r="EH252">
        <v>0</v>
      </c>
      <c r="EI252" t="s">
        <v>3</v>
      </c>
      <c r="EJ252">
        <v>1</v>
      </c>
      <c r="EK252">
        <v>17001</v>
      </c>
      <c r="EL252" t="s">
        <v>568</v>
      </c>
      <c r="EM252" t="s">
        <v>569</v>
      </c>
      <c r="EO252" t="s">
        <v>3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FQ252">
        <v>0</v>
      </c>
      <c r="FR252">
        <f t="shared" si="226"/>
        <v>0</v>
      </c>
      <c r="FS252">
        <v>0</v>
      </c>
      <c r="FT252" t="s">
        <v>29</v>
      </c>
      <c r="FU252" t="s">
        <v>30</v>
      </c>
      <c r="FX252">
        <v>115.2</v>
      </c>
      <c r="FY252">
        <v>70.55</v>
      </c>
      <c r="GA252" t="s">
        <v>3</v>
      </c>
      <c r="GD252">
        <v>0</v>
      </c>
      <c r="GF252">
        <v>-1335221296</v>
      </c>
      <c r="GG252">
        <v>1</v>
      </c>
      <c r="GH252">
        <v>1</v>
      </c>
      <c r="GI252">
        <v>4</v>
      </c>
      <c r="GJ252">
        <v>0</v>
      </c>
      <c r="GK252">
        <f>ROUND(R252*(R12)/100,2)</f>
        <v>0</v>
      </c>
      <c r="GL252">
        <f t="shared" si="227"/>
        <v>0</v>
      </c>
      <c r="GM252">
        <f t="shared" si="228"/>
        <v>0</v>
      </c>
      <c r="GN252">
        <f t="shared" si="229"/>
        <v>0</v>
      </c>
      <c r="GO252">
        <f t="shared" si="230"/>
        <v>0</v>
      </c>
      <c r="GP252">
        <f t="shared" si="231"/>
        <v>0</v>
      </c>
      <c r="GR252">
        <v>0</v>
      </c>
      <c r="GS252">
        <v>3</v>
      </c>
      <c r="GT252">
        <v>0</v>
      </c>
      <c r="GU252" t="s">
        <v>3</v>
      </c>
      <c r="GV252">
        <f t="shared" si="232"/>
        <v>0</v>
      </c>
      <c r="GW252">
        <v>1</v>
      </c>
      <c r="GX252">
        <f t="shared" si="233"/>
        <v>0</v>
      </c>
      <c r="HA252">
        <v>0</v>
      </c>
      <c r="HB252">
        <v>0</v>
      </c>
      <c r="IK252">
        <v>0</v>
      </c>
    </row>
    <row r="253" spans="1:245" x14ac:dyDescent="0.2">
      <c r="A253">
        <v>17</v>
      </c>
      <c r="B253">
        <v>1</v>
      </c>
      <c r="C253">
        <f>ROW(SmtRes!A457)</f>
        <v>457</v>
      </c>
      <c r="D253">
        <f>ROW(EtalonRes!A424)</f>
        <v>424</v>
      </c>
      <c r="E253" t="s">
        <v>597</v>
      </c>
      <c r="F253" t="s">
        <v>598</v>
      </c>
      <c r="G253" t="s">
        <v>599</v>
      </c>
      <c r="H253" t="s">
        <v>600</v>
      </c>
      <c r="I253">
        <v>3</v>
      </c>
      <c r="J253">
        <v>0</v>
      </c>
      <c r="O253">
        <f t="shared" si="200"/>
        <v>1209.7</v>
      </c>
      <c r="P253">
        <f t="shared" si="201"/>
        <v>801.07</v>
      </c>
      <c r="Q253">
        <f t="shared" si="202"/>
        <v>10.85</v>
      </c>
      <c r="R253">
        <f t="shared" si="203"/>
        <v>0</v>
      </c>
      <c r="S253">
        <f t="shared" si="204"/>
        <v>397.78</v>
      </c>
      <c r="T253">
        <f t="shared" si="205"/>
        <v>0</v>
      </c>
      <c r="U253">
        <f t="shared" si="206"/>
        <v>6.27</v>
      </c>
      <c r="V253">
        <f t="shared" si="207"/>
        <v>0</v>
      </c>
      <c r="W253">
        <f t="shared" si="208"/>
        <v>0</v>
      </c>
      <c r="X253">
        <f t="shared" si="209"/>
        <v>377.89</v>
      </c>
      <c r="Y253">
        <f t="shared" si="210"/>
        <v>258.56</v>
      </c>
      <c r="AA253">
        <v>39476960</v>
      </c>
      <c r="AB253">
        <f t="shared" si="211"/>
        <v>65.78</v>
      </c>
      <c r="AC253">
        <f t="shared" si="212"/>
        <v>43.56</v>
      </c>
      <c r="AD253">
        <f t="shared" si="236"/>
        <v>0.59</v>
      </c>
      <c r="AE253">
        <f t="shared" si="237"/>
        <v>0</v>
      </c>
      <c r="AF253">
        <f t="shared" si="238"/>
        <v>21.63</v>
      </c>
      <c r="AG253">
        <f t="shared" si="213"/>
        <v>0</v>
      </c>
      <c r="AH253">
        <f t="shared" si="239"/>
        <v>2.09</v>
      </c>
      <c r="AI253">
        <f t="shared" si="240"/>
        <v>0</v>
      </c>
      <c r="AJ253">
        <f t="shared" si="214"/>
        <v>0</v>
      </c>
      <c r="AK253">
        <v>65.78</v>
      </c>
      <c r="AL253">
        <v>43.56</v>
      </c>
      <c r="AM253">
        <v>0.59</v>
      </c>
      <c r="AN253">
        <v>0</v>
      </c>
      <c r="AO253">
        <v>21.63</v>
      </c>
      <c r="AP253">
        <v>0</v>
      </c>
      <c r="AQ253">
        <v>2.09</v>
      </c>
      <c r="AR253">
        <v>0</v>
      </c>
      <c r="AS253">
        <v>0</v>
      </c>
      <c r="AT253">
        <v>95</v>
      </c>
      <c r="AU253">
        <v>65</v>
      </c>
      <c r="AV253">
        <v>1</v>
      </c>
      <c r="AW253">
        <v>1</v>
      </c>
      <c r="AZ253">
        <v>6.13</v>
      </c>
      <c r="BA253">
        <v>6.13</v>
      </c>
      <c r="BB253">
        <v>6.13</v>
      </c>
      <c r="BC253">
        <v>6.13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2</v>
      </c>
      <c r="BJ253" t="s">
        <v>601</v>
      </c>
      <c r="BM253">
        <v>108001</v>
      </c>
      <c r="BN253">
        <v>0</v>
      </c>
      <c r="BO253" t="s">
        <v>3</v>
      </c>
      <c r="BP253">
        <v>0</v>
      </c>
      <c r="BQ253">
        <v>3</v>
      </c>
      <c r="BR253">
        <v>0</v>
      </c>
      <c r="BS253">
        <v>6.13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95</v>
      </c>
      <c r="CA253">
        <v>65</v>
      </c>
      <c r="CF253">
        <v>0</v>
      </c>
      <c r="CG253">
        <v>0</v>
      </c>
      <c r="CM253">
        <v>0</v>
      </c>
      <c r="CN253" t="s">
        <v>3</v>
      </c>
      <c r="CO253">
        <v>0</v>
      </c>
      <c r="CP253">
        <f t="shared" si="215"/>
        <v>1209.7</v>
      </c>
      <c r="CQ253">
        <f t="shared" si="216"/>
        <v>267.02280000000002</v>
      </c>
      <c r="CR253">
        <f t="shared" si="217"/>
        <v>3.6166999999999998</v>
      </c>
      <c r="CS253">
        <f t="shared" si="218"/>
        <v>0</v>
      </c>
      <c r="CT253">
        <f t="shared" si="219"/>
        <v>132.59189999999998</v>
      </c>
      <c r="CU253">
        <f t="shared" si="220"/>
        <v>0</v>
      </c>
      <c r="CV253">
        <f t="shared" si="221"/>
        <v>2.09</v>
      </c>
      <c r="CW253">
        <f t="shared" si="222"/>
        <v>0</v>
      </c>
      <c r="CX253">
        <f t="shared" si="223"/>
        <v>0</v>
      </c>
      <c r="CY253">
        <f t="shared" si="224"/>
        <v>377.89099999999996</v>
      </c>
      <c r="CZ253">
        <f t="shared" si="225"/>
        <v>258.55699999999996</v>
      </c>
      <c r="DC253" t="s">
        <v>3</v>
      </c>
      <c r="DD253" t="s">
        <v>3</v>
      </c>
      <c r="DE253" t="s">
        <v>3</v>
      </c>
      <c r="DF253" t="s">
        <v>3</v>
      </c>
      <c r="DG253" t="s">
        <v>3</v>
      </c>
      <c r="DH253" t="s">
        <v>3</v>
      </c>
      <c r="DI253" t="s">
        <v>3</v>
      </c>
      <c r="DJ253" t="s">
        <v>3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1013</v>
      </c>
      <c r="DV253" t="s">
        <v>600</v>
      </c>
      <c r="DW253" t="s">
        <v>600</v>
      </c>
      <c r="DX253">
        <v>1</v>
      </c>
      <c r="EE253">
        <v>39174386</v>
      </c>
      <c r="EF253">
        <v>3</v>
      </c>
      <c r="EG253" t="s">
        <v>372</v>
      </c>
      <c r="EH253">
        <v>0</v>
      </c>
      <c r="EI253" t="s">
        <v>3</v>
      </c>
      <c r="EJ253">
        <v>2</v>
      </c>
      <c r="EK253">
        <v>108001</v>
      </c>
      <c r="EL253" t="s">
        <v>373</v>
      </c>
      <c r="EM253" t="s">
        <v>374</v>
      </c>
      <c r="EO253" t="s">
        <v>3</v>
      </c>
      <c r="EQ253">
        <v>0</v>
      </c>
      <c r="ER253">
        <v>65.78</v>
      </c>
      <c r="ES253">
        <v>43.56</v>
      </c>
      <c r="ET253">
        <v>0.59</v>
      </c>
      <c r="EU253">
        <v>0</v>
      </c>
      <c r="EV253">
        <v>21.63</v>
      </c>
      <c r="EW253">
        <v>2.09</v>
      </c>
      <c r="EX253">
        <v>0</v>
      </c>
      <c r="EY253">
        <v>0</v>
      </c>
      <c r="FQ253">
        <v>0</v>
      </c>
      <c r="FR253">
        <f t="shared" si="226"/>
        <v>0</v>
      </c>
      <c r="FS253">
        <v>0</v>
      </c>
      <c r="FX253">
        <v>95</v>
      </c>
      <c r="FY253">
        <v>65</v>
      </c>
      <c r="GA253" t="s">
        <v>3</v>
      </c>
      <c r="GD253">
        <v>0</v>
      </c>
      <c r="GF253">
        <v>-211787421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 t="shared" si="227"/>
        <v>0</v>
      </c>
      <c r="GM253">
        <f t="shared" si="228"/>
        <v>1846.15</v>
      </c>
      <c r="GN253">
        <f t="shared" si="229"/>
        <v>0</v>
      </c>
      <c r="GO253">
        <f t="shared" si="230"/>
        <v>1846.15</v>
      </c>
      <c r="GP253">
        <f t="shared" si="231"/>
        <v>0</v>
      </c>
      <c r="GR253">
        <v>0</v>
      </c>
      <c r="GS253">
        <v>3</v>
      </c>
      <c r="GT253">
        <v>0</v>
      </c>
      <c r="GU253" t="s">
        <v>3</v>
      </c>
      <c r="GV253">
        <f t="shared" si="232"/>
        <v>0</v>
      </c>
      <c r="GW253">
        <v>1</v>
      </c>
      <c r="GX253">
        <f t="shared" si="233"/>
        <v>0</v>
      </c>
      <c r="HA253">
        <v>0</v>
      </c>
      <c r="HB253">
        <v>0</v>
      </c>
      <c r="IK253">
        <v>0</v>
      </c>
    </row>
    <row r="254" spans="1:245" x14ac:dyDescent="0.2">
      <c r="A254">
        <v>18</v>
      </c>
      <c r="B254">
        <v>1</v>
      </c>
      <c r="C254">
        <v>456</v>
      </c>
      <c r="E254" t="s">
        <v>602</v>
      </c>
      <c r="F254" t="s">
        <v>603</v>
      </c>
      <c r="G254" t="s">
        <v>604</v>
      </c>
      <c r="H254" t="s">
        <v>415</v>
      </c>
      <c r="I254">
        <f>I253*J254</f>
        <v>3</v>
      </c>
      <c r="J254">
        <v>1</v>
      </c>
      <c r="O254">
        <f t="shared" si="200"/>
        <v>108624.03</v>
      </c>
      <c r="P254">
        <f t="shared" si="201"/>
        <v>108624.03</v>
      </c>
      <c r="Q254">
        <f t="shared" si="202"/>
        <v>0</v>
      </c>
      <c r="R254">
        <f t="shared" si="203"/>
        <v>0</v>
      </c>
      <c r="S254">
        <f t="shared" si="204"/>
        <v>0</v>
      </c>
      <c r="T254">
        <f t="shared" si="205"/>
        <v>0</v>
      </c>
      <c r="U254">
        <f t="shared" si="206"/>
        <v>0</v>
      </c>
      <c r="V254">
        <f t="shared" si="207"/>
        <v>0</v>
      </c>
      <c r="W254">
        <f t="shared" si="208"/>
        <v>0</v>
      </c>
      <c r="X254">
        <f t="shared" si="209"/>
        <v>0</v>
      </c>
      <c r="Y254">
        <f t="shared" si="210"/>
        <v>0</v>
      </c>
      <c r="AA254">
        <v>39476960</v>
      </c>
      <c r="AB254">
        <f t="shared" si="211"/>
        <v>5906.69</v>
      </c>
      <c r="AC254">
        <f t="shared" si="212"/>
        <v>5906.69</v>
      </c>
      <c r="AD254">
        <f t="shared" si="236"/>
        <v>0</v>
      </c>
      <c r="AE254">
        <f t="shared" si="237"/>
        <v>0</v>
      </c>
      <c r="AF254">
        <f t="shared" si="238"/>
        <v>0</v>
      </c>
      <c r="AG254">
        <f t="shared" si="213"/>
        <v>0</v>
      </c>
      <c r="AH254">
        <f t="shared" si="239"/>
        <v>0</v>
      </c>
      <c r="AI254">
        <f t="shared" si="240"/>
        <v>0</v>
      </c>
      <c r="AJ254">
        <f t="shared" si="214"/>
        <v>0</v>
      </c>
      <c r="AK254">
        <v>5906.69</v>
      </c>
      <c r="AL254">
        <v>5906.69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95</v>
      </c>
      <c r="AU254">
        <v>65</v>
      </c>
      <c r="AV254">
        <v>1</v>
      </c>
      <c r="AW254">
        <v>1</v>
      </c>
      <c r="AZ254">
        <v>6.13</v>
      </c>
      <c r="BA254">
        <v>1</v>
      </c>
      <c r="BB254">
        <v>1</v>
      </c>
      <c r="BC254">
        <v>6.13</v>
      </c>
      <c r="BD254" t="s">
        <v>3</v>
      </c>
      <c r="BE254" t="s">
        <v>3</v>
      </c>
      <c r="BF254" t="s">
        <v>3</v>
      </c>
      <c r="BG254" t="s">
        <v>3</v>
      </c>
      <c r="BH254">
        <v>3</v>
      </c>
      <c r="BI254">
        <v>2</v>
      </c>
      <c r="BJ254" t="s">
        <v>605</v>
      </c>
      <c r="BM254">
        <v>108001</v>
      </c>
      <c r="BN254">
        <v>0</v>
      </c>
      <c r="BO254" t="s">
        <v>3</v>
      </c>
      <c r="BP254">
        <v>0</v>
      </c>
      <c r="BQ254">
        <v>3</v>
      </c>
      <c r="BR254">
        <v>0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95</v>
      </c>
      <c r="CA254">
        <v>65</v>
      </c>
      <c r="CF254">
        <v>0</v>
      </c>
      <c r="CG254">
        <v>0</v>
      </c>
      <c r="CM254">
        <v>0</v>
      </c>
      <c r="CN254" t="s">
        <v>3</v>
      </c>
      <c r="CO254">
        <v>0</v>
      </c>
      <c r="CP254">
        <f t="shared" si="215"/>
        <v>108624.03</v>
      </c>
      <c r="CQ254">
        <f t="shared" si="216"/>
        <v>36208.009699999995</v>
      </c>
      <c r="CR254">
        <f t="shared" si="217"/>
        <v>0</v>
      </c>
      <c r="CS254">
        <f t="shared" si="218"/>
        <v>0</v>
      </c>
      <c r="CT254">
        <f t="shared" si="219"/>
        <v>0</v>
      </c>
      <c r="CU254">
        <f t="shared" si="220"/>
        <v>0</v>
      </c>
      <c r="CV254">
        <f t="shared" si="221"/>
        <v>0</v>
      </c>
      <c r="CW254">
        <f t="shared" si="222"/>
        <v>0</v>
      </c>
      <c r="CX254">
        <f t="shared" si="223"/>
        <v>0</v>
      </c>
      <c r="CY254">
        <f t="shared" si="224"/>
        <v>0</v>
      </c>
      <c r="CZ254">
        <f t="shared" si="225"/>
        <v>0</v>
      </c>
      <c r="DC254" t="s">
        <v>3</v>
      </c>
      <c r="DD254" t="s">
        <v>3</v>
      </c>
      <c r="DE254" t="s">
        <v>3</v>
      </c>
      <c r="DF254" t="s">
        <v>3</v>
      </c>
      <c r="DG254" t="s">
        <v>3</v>
      </c>
      <c r="DH254" t="s">
        <v>3</v>
      </c>
      <c r="DI254" t="s">
        <v>3</v>
      </c>
      <c r="DJ254" t="s">
        <v>3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1010</v>
      </c>
      <c r="DV254" t="s">
        <v>415</v>
      </c>
      <c r="DW254" t="s">
        <v>415</v>
      </c>
      <c r="DX254">
        <v>1</v>
      </c>
      <c r="EE254">
        <v>39174386</v>
      </c>
      <c r="EF254">
        <v>3</v>
      </c>
      <c r="EG254" t="s">
        <v>372</v>
      </c>
      <c r="EH254">
        <v>0</v>
      </c>
      <c r="EI254" t="s">
        <v>3</v>
      </c>
      <c r="EJ254">
        <v>2</v>
      </c>
      <c r="EK254">
        <v>108001</v>
      </c>
      <c r="EL254" t="s">
        <v>373</v>
      </c>
      <c r="EM254" t="s">
        <v>374</v>
      </c>
      <c r="EO254" t="s">
        <v>3</v>
      </c>
      <c r="EQ254">
        <v>0</v>
      </c>
      <c r="ER254">
        <v>5906.69</v>
      </c>
      <c r="ES254">
        <v>5906.69</v>
      </c>
      <c r="ET254">
        <v>0</v>
      </c>
      <c r="EU254">
        <v>0</v>
      </c>
      <c r="EV254">
        <v>0</v>
      </c>
      <c r="EW254">
        <v>0</v>
      </c>
      <c r="EX254">
        <v>0</v>
      </c>
      <c r="FQ254">
        <v>0</v>
      </c>
      <c r="FR254">
        <f t="shared" si="226"/>
        <v>0</v>
      </c>
      <c r="FS254">
        <v>0</v>
      </c>
      <c r="FX254">
        <v>95</v>
      </c>
      <c r="FY254">
        <v>65</v>
      </c>
      <c r="GA254" t="s">
        <v>3</v>
      </c>
      <c r="GD254">
        <v>0</v>
      </c>
      <c r="GF254">
        <v>-1114923244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 t="shared" si="227"/>
        <v>0</v>
      </c>
      <c r="GM254">
        <f t="shared" si="228"/>
        <v>108624.03</v>
      </c>
      <c r="GN254">
        <f t="shared" si="229"/>
        <v>0</v>
      </c>
      <c r="GO254">
        <f t="shared" si="230"/>
        <v>108624.03</v>
      </c>
      <c r="GP254">
        <f t="shared" si="231"/>
        <v>0</v>
      </c>
      <c r="GR254">
        <v>0</v>
      </c>
      <c r="GS254">
        <v>3</v>
      </c>
      <c r="GT254">
        <v>0</v>
      </c>
      <c r="GU254" t="s">
        <v>3</v>
      </c>
      <c r="GV254">
        <f t="shared" si="232"/>
        <v>0</v>
      </c>
      <c r="GW254">
        <v>1</v>
      </c>
      <c r="GX254">
        <f t="shared" si="233"/>
        <v>0</v>
      </c>
      <c r="HA254">
        <v>0</v>
      </c>
      <c r="HB254">
        <v>0</v>
      </c>
      <c r="IK254">
        <v>0</v>
      </c>
    </row>
    <row r="255" spans="1:245" x14ac:dyDescent="0.2">
      <c r="A255">
        <v>17</v>
      </c>
      <c r="B255">
        <v>1</v>
      </c>
      <c r="C255">
        <f>ROW(SmtRes!A471)</f>
        <v>471</v>
      </c>
      <c r="D255">
        <f>ROW(EtalonRes!A437)</f>
        <v>437</v>
      </c>
      <c r="E255" t="s">
        <v>606</v>
      </c>
      <c r="F255" t="s">
        <v>607</v>
      </c>
      <c r="G255" t="s">
        <v>608</v>
      </c>
      <c r="H255" t="s">
        <v>609</v>
      </c>
      <c r="I255">
        <f>ROUND(1/10,9)</f>
        <v>0.1</v>
      </c>
      <c r="J255">
        <v>0</v>
      </c>
      <c r="O255">
        <f t="shared" si="200"/>
        <v>117.91</v>
      </c>
      <c r="P255">
        <f t="shared" si="201"/>
        <v>34.270000000000003</v>
      </c>
      <c r="Q255">
        <f t="shared" si="202"/>
        <v>10.48</v>
      </c>
      <c r="R255">
        <f t="shared" si="203"/>
        <v>2.37</v>
      </c>
      <c r="S255">
        <f t="shared" si="204"/>
        <v>73.16</v>
      </c>
      <c r="T255">
        <f t="shared" si="205"/>
        <v>0</v>
      </c>
      <c r="U255">
        <f t="shared" si="206"/>
        <v>1.2406200000000001</v>
      </c>
      <c r="V255">
        <f t="shared" si="207"/>
        <v>3.15E-2</v>
      </c>
      <c r="W255">
        <f t="shared" si="208"/>
        <v>0</v>
      </c>
      <c r="X255">
        <f t="shared" si="209"/>
        <v>86.86</v>
      </c>
      <c r="Y255">
        <f t="shared" si="210"/>
        <v>53.63</v>
      </c>
      <c r="AA255">
        <v>39476960</v>
      </c>
      <c r="AB255">
        <f t="shared" si="211"/>
        <v>192.33</v>
      </c>
      <c r="AC255">
        <f t="shared" si="212"/>
        <v>55.9</v>
      </c>
      <c r="AD255">
        <f>ROUND((((((ET255*1.25)*1.2))-(((EU255*1.25)*1.2)))+AE255),2)</f>
        <v>17.09</v>
      </c>
      <c r="AE255">
        <f>ROUND((((EU255*1.25)*1.2)),2)</f>
        <v>3.86</v>
      </c>
      <c r="AF255">
        <f>ROUND((((EV255*1.15)*1.2)),2)</f>
        <v>119.34</v>
      </c>
      <c r="AG255">
        <f t="shared" si="213"/>
        <v>0</v>
      </c>
      <c r="AH255">
        <f>(((EW255*1.15)*1.2))</f>
        <v>12.4062</v>
      </c>
      <c r="AI255">
        <f>(((EX255*1.25)*1.2))</f>
        <v>0.315</v>
      </c>
      <c r="AJ255">
        <f t="shared" si="214"/>
        <v>0</v>
      </c>
      <c r="AK255">
        <v>153.77000000000001</v>
      </c>
      <c r="AL255">
        <v>55.9</v>
      </c>
      <c r="AM255">
        <v>11.39</v>
      </c>
      <c r="AN255">
        <v>2.57</v>
      </c>
      <c r="AO255">
        <v>86.48</v>
      </c>
      <c r="AP255">
        <v>0</v>
      </c>
      <c r="AQ255">
        <v>8.99</v>
      </c>
      <c r="AR255">
        <v>0.21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6.13</v>
      </c>
      <c r="BA255">
        <v>6.13</v>
      </c>
      <c r="BB255">
        <v>6.13</v>
      </c>
      <c r="BC255">
        <v>6.13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610</v>
      </c>
      <c r="BM255">
        <v>17001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6.13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1274</v>
      </c>
      <c r="CO255">
        <v>0</v>
      </c>
      <c r="CP255">
        <f t="shared" si="215"/>
        <v>117.91</v>
      </c>
      <c r="CQ255">
        <f t="shared" si="216"/>
        <v>342.66699999999997</v>
      </c>
      <c r="CR255">
        <f t="shared" si="217"/>
        <v>104.76169999999999</v>
      </c>
      <c r="CS255">
        <f t="shared" si="218"/>
        <v>23.661799999999999</v>
      </c>
      <c r="CT255">
        <f t="shared" si="219"/>
        <v>731.55420000000004</v>
      </c>
      <c r="CU255">
        <f t="shared" si="220"/>
        <v>0</v>
      </c>
      <c r="CV255">
        <f t="shared" si="221"/>
        <v>12.4062</v>
      </c>
      <c r="CW255">
        <f t="shared" si="222"/>
        <v>0.315</v>
      </c>
      <c r="CX255">
        <f t="shared" si="223"/>
        <v>0</v>
      </c>
      <c r="CY255">
        <f t="shared" si="224"/>
        <v>86.859500000000011</v>
      </c>
      <c r="CZ255">
        <f t="shared" si="225"/>
        <v>53.626300000000001</v>
      </c>
      <c r="DC255" t="s">
        <v>3</v>
      </c>
      <c r="DD255" t="s">
        <v>3</v>
      </c>
      <c r="DE255" t="s">
        <v>53</v>
      </c>
      <c r="DF255" t="s">
        <v>53</v>
      </c>
      <c r="DG255" t="s">
        <v>54</v>
      </c>
      <c r="DH255" t="s">
        <v>3</v>
      </c>
      <c r="DI255" t="s">
        <v>54</v>
      </c>
      <c r="DJ255" t="s">
        <v>53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609</v>
      </c>
      <c r="DW255" t="s">
        <v>609</v>
      </c>
      <c r="DX255">
        <v>1</v>
      </c>
      <c r="EE255">
        <v>39174531</v>
      </c>
      <c r="EF255">
        <v>2</v>
      </c>
      <c r="EG255" t="s">
        <v>13</v>
      </c>
      <c r="EH255">
        <v>0</v>
      </c>
      <c r="EI255" t="s">
        <v>3</v>
      </c>
      <c r="EJ255">
        <v>1</v>
      </c>
      <c r="EK255">
        <v>17001</v>
      </c>
      <c r="EL255" t="s">
        <v>568</v>
      </c>
      <c r="EM255" t="s">
        <v>569</v>
      </c>
      <c r="EO255" t="s">
        <v>89</v>
      </c>
      <c r="EQ255">
        <v>0</v>
      </c>
      <c r="ER255">
        <v>153.77000000000001</v>
      </c>
      <c r="ES255">
        <v>55.9</v>
      </c>
      <c r="ET255">
        <v>11.39</v>
      </c>
      <c r="EU255">
        <v>2.57</v>
      </c>
      <c r="EV255">
        <v>86.48</v>
      </c>
      <c r="EW255">
        <v>8.99</v>
      </c>
      <c r="EX255">
        <v>0.21</v>
      </c>
      <c r="EY255">
        <v>0</v>
      </c>
      <c r="FQ255">
        <v>0</v>
      </c>
      <c r="FR255">
        <f t="shared" si="226"/>
        <v>0</v>
      </c>
      <c r="FS255">
        <v>0</v>
      </c>
      <c r="FT255" t="s">
        <v>29</v>
      </c>
      <c r="FU255" t="s">
        <v>30</v>
      </c>
      <c r="FX255">
        <v>115.2</v>
      </c>
      <c r="FY255">
        <v>70.55</v>
      </c>
      <c r="GA255" t="s">
        <v>3</v>
      </c>
      <c r="GD255">
        <v>0</v>
      </c>
      <c r="GF255">
        <v>63448781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 t="shared" si="227"/>
        <v>0</v>
      </c>
      <c r="GM255">
        <f t="shared" si="228"/>
        <v>258.39999999999998</v>
      </c>
      <c r="GN255">
        <f t="shared" si="229"/>
        <v>258.39999999999998</v>
      </c>
      <c r="GO255">
        <f t="shared" si="230"/>
        <v>0</v>
      </c>
      <c r="GP255">
        <f t="shared" si="231"/>
        <v>0</v>
      </c>
      <c r="GR255">
        <v>0</v>
      </c>
      <c r="GS255">
        <v>3</v>
      </c>
      <c r="GT255">
        <v>0</v>
      </c>
      <c r="GU255" t="s">
        <v>3</v>
      </c>
      <c r="GV255">
        <f t="shared" si="232"/>
        <v>0</v>
      </c>
      <c r="GW255">
        <v>1</v>
      </c>
      <c r="GX255">
        <f t="shared" si="233"/>
        <v>0</v>
      </c>
      <c r="HA255">
        <v>0</v>
      </c>
      <c r="HB255">
        <v>0</v>
      </c>
      <c r="IK255">
        <v>0</v>
      </c>
    </row>
    <row r="256" spans="1:245" x14ac:dyDescent="0.2">
      <c r="A256">
        <v>18</v>
      </c>
      <c r="B256">
        <v>1</v>
      </c>
      <c r="C256">
        <v>470</v>
      </c>
      <c r="E256" t="s">
        <v>611</v>
      </c>
      <c r="F256" t="s">
        <v>612</v>
      </c>
      <c r="G256" t="s">
        <v>613</v>
      </c>
      <c r="H256" t="s">
        <v>415</v>
      </c>
      <c r="I256">
        <f>I255*J256</f>
        <v>1</v>
      </c>
      <c r="J256">
        <v>10</v>
      </c>
      <c r="O256">
        <f t="shared" si="200"/>
        <v>4861.7</v>
      </c>
      <c r="P256">
        <f t="shared" si="201"/>
        <v>4861.7</v>
      </c>
      <c r="Q256">
        <f t="shared" si="202"/>
        <v>0</v>
      </c>
      <c r="R256">
        <f t="shared" si="203"/>
        <v>0</v>
      </c>
      <c r="S256">
        <f t="shared" si="204"/>
        <v>0</v>
      </c>
      <c r="T256">
        <f t="shared" si="205"/>
        <v>0</v>
      </c>
      <c r="U256">
        <f t="shared" si="206"/>
        <v>0</v>
      </c>
      <c r="V256">
        <f t="shared" si="207"/>
        <v>0</v>
      </c>
      <c r="W256">
        <f t="shared" si="208"/>
        <v>0</v>
      </c>
      <c r="X256">
        <f t="shared" si="209"/>
        <v>0</v>
      </c>
      <c r="Y256">
        <f t="shared" si="210"/>
        <v>0</v>
      </c>
      <c r="AA256">
        <v>39476960</v>
      </c>
      <c r="AB256">
        <f t="shared" si="211"/>
        <v>793.1</v>
      </c>
      <c r="AC256">
        <f t="shared" si="212"/>
        <v>793.1</v>
      </c>
      <c r="AD256">
        <f>ROUND((((ET256)-(EU256))+AE256),2)</f>
        <v>0</v>
      </c>
      <c r="AE256">
        <f t="shared" ref="AE256:AF260" si="241">ROUND((EU256),2)</f>
        <v>0</v>
      </c>
      <c r="AF256">
        <f t="shared" si="241"/>
        <v>0</v>
      </c>
      <c r="AG256">
        <f t="shared" si="213"/>
        <v>0</v>
      </c>
      <c r="AH256">
        <f t="shared" ref="AH256:AI260" si="242">(EW256)</f>
        <v>0</v>
      </c>
      <c r="AI256">
        <f t="shared" si="242"/>
        <v>0</v>
      </c>
      <c r="AJ256">
        <f t="shared" si="214"/>
        <v>0</v>
      </c>
      <c r="AK256">
        <v>793.1</v>
      </c>
      <c r="AL256">
        <v>793.1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115</v>
      </c>
      <c r="AU256">
        <v>71</v>
      </c>
      <c r="AV256">
        <v>1</v>
      </c>
      <c r="AW256">
        <v>1</v>
      </c>
      <c r="AZ256">
        <v>6.13</v>
      </c>
      <c r="BA256">
        <v>1</v>
      </c>
      <c r="BB256">
        <v>1</v>
      </c>
      <c r="BC256">
        <v>6.13</v>
      </c>
      <c r="BD256" t="s">
        <v>3</v>
      </c>
      <c r="BE256" t="s">
        <v>3</v>
      </c>
      <c r="BF256" t="s">
        <v>3</v>
      </c>
      <c r="BG256" t="s">
        <v>3</v>
      </c>
      <c r="BH256">
        <v>3</v>
      </c>
      <c r="BI256">
        <v>1</v>
      </c>
      <c r="BJ256" t="s">
        <v>614</v>
      </c>
      <c r="BM256">
        <v>17001</v>
      </c>
      <c r="BN256">
        <v>0</v>
      </c>
      <c r="BO256" t="s">
        <v>3</v>
      </c>
      <c r="BP256">
        <v>0</v>
      </c>
      <c r="BQ256">
        <v>2</v>
      </c>
      <c r="BR256">
        <v>0</v>
      </c>
      <c r="BS256">
        <v>1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128</v>
      </c>
      <c r="CA256">
        <v>83</v>
      </c>
      <c r="CF256">
        <v>0</v>
      </c>
      <c r="CG256">
        <v>0</v>
      </c>
      <c r="CM256">
        <v>0</v>
      </c>
      <c r="CN256" t="s">
        <v>3</v>
      </c>
      <c r="CO256">
        <v>0</v>
      </c>
      <c r="CP256">
        <f t="shared" si="215"/>
        <v>4861.7</v>
      </c>
      <c r="CQ256">
        <f t="shared" si="216"/>
        <v>4861.7030000000004</v>
      </c>
      <c r="CR256">
        <f t="shared" si="217"/>
        <v>0</v>
      </c>
      <c r="CS256">
        <f t="shared" si="218"/>
        <v>0</v>
      </c>
      <c r="CT256">
        <f t="shared" si="219"/>
        <v>0</v>
      </c>
      <c r="CU256">
        <f t="shared" si="220"/>
        <v>0</v>
      </c>
      <c r="CV256">
        <f t="shared" si="221"/>
        <v>0</v>
      </c>
      <c r="CW256">
        <f t="shared" si="222"/>
        <v>0</v>
      </c>
      <c r="CX256">
        <f t="shared" si="223"/>
        <v>0</v>
      </c>
      <c r="CY256">
        <f t="shared" si="224"/>
        <v>0</v>
      </c>
      <c r="CZ256">
        <f t="shared" si="225"/>
        <v>0</v>
      </c>
      <c r="DC256" t="s">
        <v>3</v>
      </c>
      <c r="DD256" t="s">
        <v>3</v>
      </c>
      <c r="DE256" t="s">
        <v>3</v>
      </c>
      <c r="DF256" t="s">
        <v>3</v>
      </c>
      <c r="DG256" t="s">
        <v>3</v>
      </c>
      <c r="DH256" t="s">
        <v>3</v>
      </c>
      <c r="DI256" t="s">
        <v>3</v>
      </c>
      <c r="DJ256" t="s">
        <v>3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1010</v>
      </c>
      <c r="DV256" t="s">
        <v>415</v>
      </c>
      <c r="DW256" t="s">
        <v>415</v>
      </c>
      <c r="DX256">
        <v>1</v>
      </c>
      <c r="EE256">
        <v>39174531</v>
      </c>
      <c r="EF256">
        <v>2</v>
      </c>
      <c r="EG256" t="s">
        <v>13</v>
      </c>
      <c r="EH256">
        <v>0</v>
      </c>
      <c r="EI256" t="s">
        <v>3</v>
      </c>
      <c r="EJ256">
        <v>1</v>
      </c>
      <c r="EK256">
        <v>17001</v>
      </c>
      <c r="EL256" t="s">
        <v>568</v>
      </c>
      <c r="EM256" t="s">
        <v>569</v>
      </c>
      <c r="EO256" t="s">
        <v>3</v>
      </c>
      <c r="EQ256">
        <v>0</v>
      </c>
      <c r="ER256">
        <v>793.1</v>
      </c>
      <c r="ES256">
        <v>793.1</v>
      </c>
      <c r="ET256">
        <v>0</v>
      </c>
      <c r="EU256">
        <v>0</v>
      </c>
      <c r="EV256">
        <v>0</v>
      </c>
      <c r="EW256">
        <v>0</v>
      </c>
      <c r="EX256">
        <v>0</v>
      </c>
      <c r="FQ256">
        <v>0</v>
      </c>
      <c r="FR256">
        <f t="shared" si="226"/>
        <v>0</v>
      </c>
      <c r="FS256">
        <v>0</v>
      </c>
      <c r="FT256" t="s">
        <v>29</v>
      </c>
      <c r="FU256" t="s">
        <v>30</v>
      </c>
      <c r="FX256">
        <v>115.2</v>
      </c>
      <c r="FY256">
        <v>70.55</v>
      </c>
      <c r="GA256" t="s">
        <v>3</v>
      </c>
      <c r="GD256">
        <v>0</v>
      </c>
      <c r="GF256">
        <v>-1901315637</v>
      </c>
      <c r="GG256">
        <v>1</v>
      </c>
      <c r="GH256">
        <v>1</v>
      </c>
      <c r="GI256">
        <v>4</v>
      </c>
      <c r="GJ256">
        <v>0</v>
      </c>
      <c r="GK256">
        <f>ROUND(R256*(R12)/100,2)</f>
        <v>0</v>
      </c>
      <c r="GL256">
        <f t="shared" si="227"/>
        <v>0</v>
      </c>
      <c r="GM256">
        <f t="shared" si="228"/>
        <v>4861.7</v>
      </c>
      <c r="GN256">
        <f t="shared" si="229"/>
        <v>4861.7</v>
      </c>
      <c r="GO256">
        <f t="shared" si="230"/>
        <v>0</v>
      </c>
      <c r="GP256">
        <f t="shared" si="231"/>
        <v>0</v>
      </c>
      <c r="GR256">
        <v>0</v>
      </c>
      <c r="GS256">
        <v>3</v>
      </c>
      <c r="GT256">
        <v>0</v>
      </c>
      <c r="GU256" t="s">
        <v>3</v>
      </c>
      <c r="GV256">
        <f t="shared" si="232"/>
        <v>0</v>
      </c>
      <c r="GW256">
        <v>1</v>
      </c>
      <c r="GX256">
        <f t="shared" si="233"/>
        <v>0</v>
      </c>
      <c r="HA256">
        <v>0</v>
      </c>
      <c r="HB256">
        <v>0</v>
      </c>
      <c r="IK256">
        <v>0</v>
      </c>
    </row>
    <row r="257" spans="1:245" x14ac:dyDescent="0.2">
      <c r="A257">
        <v>18</v>
      </c>
      <c r="B257">
        <v>1</v>
      </c>
      <c r="C257">
        <v>465</v>
      </c>
      <c r="E257" t="s">
        <v>615</v>
      </c>
      <c r="F257" t="s">
        <v>572</v>
      </c>
      <c r="G257" t="s">
        <v>573</v>
      </c>
      <c r="H257" t="s">
        <v>429</v>
      </c>
      <c r="I257">
        <f>I255*J257</f>
        <v>0.04</v>
      </c>
      <c r="J257">
        <v>0.39999999999999997</v>
      </c>
      <c r="O257">
        <f t="shared" si="200"/>
        <v>7.26</v>
      </c>
      <c r="P257">
        <f t="shared" si="201"/>
        <v>7.26</v>
      </c>
      <c r="Q257">
        <f t="shared" si="202"/>
        <v>0</v>
      </c>
      <c r="R257">
        <f t="shared" si="203"/>
        <v>0</v>
      </c>
      <c r="S257">
        <f t="shared" si="204"/>
        <v>0</v>
      </c>
      <c r="T257">
        <f t="shared" si="205"/>
        <v>0</v>
      </c>
      <c r="U257">
        <f t="shared" si="206"/>
        <v>0</v>
      </c>
      <c r="V257">
        <f t="shared" si="207"/>
        <v>0</v>
      </c>
      <c r="W257">
        <f t="shared" si="208"/>
        <v>0</v>
      </c>
      <c r="X257">
        <f t="shared" si="209"/>
        <v>0</v>
      </c>
      <c r="Y257">
        <f t="shared" si="210"/>
        <v>0</v>
      </c>
      <c r="AA257">
        <v>39476960</v>
      </c>
      <c r="AB257">
        <f t="shared" si="211"/>
        <v>29.6</v>
      </c>
      <c r="AC257">
        <f t="shared" si="212"/>
        <v>29.6</v>
      </c>
      <c r="AD257">
        <f>ROUND((((ET257)-(EU257))+AE257),2)</f>
        <v>0</v>
      </c>
      <c r="AE257">
        <f t="shared" si="241"/>
        <v>0</v>
      </c>
      <c r="AF257">
        <f t="shared" si="241"/>
        <v>0</v>
      </c>
      <c r="AG257">
        <f t="shared" si="213"/>
        <v>0</v>
      </c>
      <c r="AH257">
        <f t="shared" si="242"/>
        <v>0</v>
      </c>
      <c r="AI257">
        <f t="shared" si="242"/>
        <v>0</v>
      </c>
      <c r="AJ257">
        <f t="shared" si="214"/>
        <v>0</v>
      </c>
      <c r="AK257">
        <v>29.6</v>
      </c>
      <c r="AL257">
        <v>29.6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115</v>
      </c>
      <c r="AU257">
        <v>71</v>
      </c>
      <c r="AV257">
        <v>1</v>
      </c>
      <c r="AW257">
        <v>1</v>
      </c>
      <c r="AZ257">
        <v>6.13</v>
      </c>
      <c r="BA257">
        <v>1</v>
      </c>
      <c r="BB257">
        <v>1</v>
      </c>
      <c r="BC257">
        <v>6.13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574</v>
      </c>
      <c r="BM257">
        <v>17001</v>
      </c>
      <c r="BN257">
        <v>0</v>
      </c>
      <c r="BO257" t="s">
        <v>3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128</v>
      </c>
      <c r="CA257">
        <v>83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15"/>
        <v>7.26</v>
      </c>
      <c r="CQ257">
        <f t="shared" si="216"/>
        <v>181.44800000000001</v>
      </c>
      <c r="CR257">
        <f t="shared" si="217"/>
        <v>0</v>
      </c>
      <c r="CS257">
        <f t="shared" si="218"/>
        <v>0</v>
      </c>
      <c r="CT257">
        <f t="shared" si="219"/>
        <v>0</v>
      </c>
      <c r="CU257">
        <f t="shared" si="220"/>
        <v>0</v>
      </c>
      <c r="CV257">
        <f t="shared" si="221"/>
        <v>0</v>
      </c>
      <c r="CW257">
        <f t="shared" si="222"/>
        <v>0</v>
      </c>
      <c r="CX257">
        <f t="shared" si="223"/>
        <v>0</v>
      </c>
      <c r="CY257">
        <f t="shared" si="224"/>
        <v>0</v>
      </c>
      <c r="CZ257">
        <f t="shared" si="225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1010</v>
      </c>
      <c r="DV257" t="s">
        <v>429</v>
      </c>
      <c r="DW257" t="s">
        <v>429</v>
      </c>
      <c r="DX257">
        <v>100</v>
      </c>
      <c r="EE257">
        <v>39174531</v>
      </c>
      <c r="EF257">
        <v>2</v>
      </c>
      <c r="EG257" t="s">
        <v>13</v>
      </c>
      <c r="EH257">
        <v>0</v>
      </c>
      <c r="EI257" t="s">
        <v>3</v>
      </c>
      <c r="EJ257">
        <v>1</v>
      </c>
      <c r="EK257">
        <v>17001</v>
      </c>
      <c r="EL257" t="s">
        <v>568</v>
      </c>
      <c r="EM257" t="s">
        <v>569</v>
      </c>
      <c r="EO257" t="s">
        <v>3</v>
      </c>
      <c r="EQ257">
        <v>0</v>
      </c>
      <c r="ER257">
        <v>29.6</v>
      </c>
      <c r="ES257">
        <v>29.6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26"/>
        <v>0</v>
      </c>
      <c r="FS257">
        <v>0</v>
      </c>
      <c r="FT257" t="s">
        <v>29</v>
      </c>
      <c r="FU257" t="s">
        <v>30</v>
      </c>
      <c r="FX257">
        <v>115.2</v>
      </c>
      <c r="FY257">
        <v>70.55</v>
      </c>
      <c r="GA257" t="s">
        <v>3</v>
      </c>
      <c r="GD257">
        <v>0</v>
      </c>
      <c r="GF257">
        <v>-1390362517</v>
      </c>
      <c r="GG257">
        <v>1</v>
      </c>
      <c r="GH257">
        <v>1</v>
      </c>
      <c r="GI257">
        <v>4</v>
      </c>
      <c r="GJ257">
        <v>0</v>
      </c>
      <c r="GK257">
        <f>ROUND(R257*(R12)/100,2)</f>
        <v>0</v>
      </c>
      <c r="GL257">
        <f t="shared" si="227"/>
        <v>0</v>
      </c>
      <c r="GM257">
        <f t="shared" si="228"/>
        <v>7.26</v>
      </c>
      <c r="GN257">
        <f t="shared" si="229"/>
        <v>7.26</v>
      </c>
      <c r="GO257">
        <f t="shared" si="230"/>
        <v>0</v>
      </c>
      <c r="GP257">
        <f t="shared" si="231"/>
        <v>0</v>
      </c>
      <c r="GR257">
        <v>0</v>
      </c>
      <c r="GS257">
        <v>3</v>
      </c>
      <c r="GT257">
        <v>0</v>
      </c>
      <c r="GU257" t="s">
        <v>3</v>
      </c>
      <c r="GV257">
        <f t="shared" si="232"/>
        <v>0</v>
      </c>
      <c r="GW257">
        <v>1</v>
      </c>
      <c r="GX257">
        <f t="shared" si="233"/>
        <v>0</v>
      </c>
      <c r="HA257">
        <v>0</v>
      </c>
      <c r="HB257">
        <v>0</v>
      </c>
      <c r="IK257">
        <v>0</v>
      </c>
    </row>
    <row r="258" spans="1:245" x14ac:dyDescent="0.2">
      <c r="A258">
        <v>18</v>
      </c>
      <c r="B258">
        <v>1</v>
      </c>
      <c r="C258">
        <v>464</v>
      </c>
      <c r="E258" t="s">
        <v>616</v>
      </c>
      <c r="F258" t="s">
        <v>592</v>
      </c>
      <c r="G258" t="s">
        <v>593</v>
      </c>
      <c r="H258" t="s">
        <v>160</v>
      </c>
      <c r="I258">
        <f>I255*J258</f>
        <v>0.4</v>
      </c>
      <c r="J258">
        <v>4</v>
      </c>
      <c r="O258">
        <f t="shared" si="200"/>
        <v>0</v>
      </c>
      <c r="P258">
        <f t="shared" si="201"/>
        <v>0</v>
      </c>
      <c r="Q258">
        <f t="shared" si="202"/>
        <v>0</v>
      </c>
      <c r="R258">
        <f t="shared" si="203"/>
        <v>0</v>
      </c>
      <c r="S258">
        <f t="shared" si="204"/>
        <v>0</v>
      </c>
      <c r="T258">
        <f t="shared" si="205"/>
        <v>0</v>
      </c>
      <c r="U258">
        <f t="shared" si="206"/>
        <v>0</v>
      </c>
      <c r="V258">
        <f t="shared" si="207"/>
        <v>0</v>
      </c>
      <c r="W258">
        <f t="shared" si="208"/>
        <v>0</v>
      </c>
      <c r="X258">
        <f t="shared" si="209"/>
        <v>0</v>
      </c>
      <c r="Y258">
        <f t="shared" si="210"/>
        <v>0</v>
      </c>
      <c r="AA258">
        <v>39476960</v>
      </c>
      <c r="AB258">
        <f t="shared" si="211"/>
        <v>0</v>
      </c>
      <c r="AC258">
        <f t="shared" si="212"/>
        <v>0</v>
      </c>
      <c r="AD258">
        <f>ROUND((((ET258)-(EU258))+AE258),2)</f>
        <v>0</v>
      </c>
      <c r="AE258">
        <f t="shared" si="241"/>
        <v>0</v>
      </c>
      <c r="AF258">
        <f t="shared" si="241"/>
        <v>0</v>
      </c>
      <c r="AG258">
        <f t="shared" si="213"/>
        <v>0</v>
      </c>
      <c r="AH258">
        <f t="shared" si="242"/>
        <v>0</v>
      </c>
      <c r="AI258">
        <f t="shared" si="242"/>
        <v>0</v>
      </c>
      <c r="AJ258">
        <f t="shared" si="214"/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115</v>
      </c>
      <c r="AU258">
        <v>71</v>
      </c>
      <c r="AV258">
        <v>1</v>
      </c>
      <c r="AW258">
        <v>1</v>
      </c>
      <c r="AZ258">
        <v>6.13</v>
      </c>
      <c r="BA258">
        <v>1</v>
      </c>
      <c r="BB258">
        <v>1</v>
      </c>
      <c r="BC258">
        <v>6.13</v>
      </c>
      <c r="BD258" t="s">
        <v>3</v>
      </c>
      <c r="BE258" t="s">
        <v>3</v>
      </c>
      <c r="BF258" t="s">
        <v>3</v>
      </c>
      <c r="BG258" t="s">
        <v>3</v>
      </c>
      <c r="BH258">
        <v>3</v>
      </c>
      <c r="BI258">
        <v>1</v>
      </c>
      <c r="BJ258" t="s">
        <v>3</v>
      </c>
      <c r="BM258">
        <v>17001</v>
      </c>
      <c r="BN258">
        <v>0</v>
      </c>
      <c r="BO258" t="s">
        <v>3</v>
      </c>
      <c r="BP258">
        <v>0</v>
      </c>
      <c r="BQ258">
        <v>2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128</v>
      </c>
      <c r="CA258">
        <v>83</v>
      </c>
      <c r="CF258">
        <v>0</v>
      </c>
      <c r="CG258">
        <v>0</v>
      </c>
      <c r="CM258">
        <v>0</v>
      </c>
      <c r="CN258" t="s">
        <v>3</v>
      </c>
      <c r="CO258">
        <v>0</v>
      </c>
      <c r="CP258">
        <f t="shared" si="215"/>
        <v>0</v>
      </c>
      <c r="CQ258">
        <f t="shared" si="216"/>
        <v>0</v>
      </c>
      <c r="CR258">
        <f t="shared" si="217"/>
        <v>0</v>
      </c>
      <c r="CS258">
        <f t="shared" si="218"/>
        <v>0</v>
      </c>
      <c r="CT258">
        <f t="shared" si="219"/>
        <v>0</v>
      </c>
      <c r="CU258">
        <f t="shared" si="220"/>
        <v>0</v>
      </c>
      <c r="CV258">
        <f t="shared" si="221"/>
        <v>0</v>
      </c>
      <c r="CW258">
        <f t="shared" si="222"/>
        <v>0</v>
      </c>
      <c r="CX258">
        <f t="shared" si="223"/>
        <v>0</v>
      </c>
      <c r="CY258">
        <f t="shared" si="224"/>
        <v>0</v>
      </c>
      <c r="CZ258">
        <f t="shared" si="225"/>
        <v>0</v>
      </c>
      <c r="DC258" t="s">
        <v>3</v>
      </c>
      <c r="DD258" t="s">
        <v>3</v>
      </c>
      <c r="DE258" t="s">
        <v>3</v>
      </c>
      <c r="DF258" t="s">
        <v>3</v>
      </c>
      <c r="DG258" t="s">
        <v>3</v>
      </c>
      <c r="DH258" t="s">
        <v>3</v>
      </c>
      <c r="DI258" t="s">
        <v>3</v>
      </c>
      <c r="DJ258" t="s">
        <v>3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1010</v>
      </c>
      <c r="DV258" t="s">
        <v>160</v>
      </c>
      <c r="DW258" t="s">
        <v>160</v>
      </c>
      <c r="DX258">
        <v>10</v>
      </c>
      <c r="EE258">
        <v>39174531</v>
      </c>
      <c r="EF258">
        <v>2</v>
      </c>
      <c r="EG258" t="s">
        <v>13</v>
      </c>
      <c r="EH258">
        <v>0</v>
      </c>
      <c r="EI258" t="s">
        <v>3</v>
      </c>
      <c r="EJ258">
        <v>1</v>
      </c>
      <c r="EK258">
        <v>17001</v>
      </c>
      <c r="EL258" t="s">
        <v>568</v>
      </c>
      <c r="EM258" t="s">
        <v>569</v>
      </c>
      <c r="EO258" t="s">
        <v>3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FQ258">
        <v>0</v>
      </c>
      <c r="FR258">
        <f t="shared" si="226"/>
        <v>0</v>
      </c>
      <c r="FS258">
        <v>0</v>
      </c>
      <c r="FT258" t="s">
        <v>29</v>
      </c>
      <c r="FU258" t="s">
        <v>30</v>
      </c>
      <c r="FX258">
        <v>115.2</v>
      </c>
      <c r="FY258">
        <v>70.55</v>
      </c>
      <c r="GA258" t="s">
        <v>3</v>
      </c>
      <c r="GD258">
        <v>0</v>
      </c>
      <c r="GF258">
        <v>488433216</v>
      </c>
      <c r="GG258">
        <v>1</v>
      </c>
      <c r="GH258">
        <v>1</v>
      </c>
      <c r="GI258">
        <v>4</v>
      </c>
      <c r="GJ258">
        <v>0</v>
      </c>
      <c r="GK258">
        <f>ROUND(R258*(R12)/100,2)</f>
        <v>0</v>
      </c>
      <c r="GL258">
        <f t="shared" si="227"/>
        <v>0</v>
      </c>
      <c r="GM258">
        <f t="shared" si="228"/>
        <v>0</v>
      </c>
      <c r="GN258">
        <f t="shared" si="229"/>
        <v>0</v>
      </c>
      <c r="GO258">
        <f t="shared" si="230"/>
        <v>0</v>
      </c>
      <c r="GP258">
        <f t="shared" si="231"/>
        <v>0</v>
      </c>
      <c r="GR258">
        <v>0</v>
      </c>
      <c r="GS258">
        <v>3</v>
      </c>
      <c r="GT258">
        <v>0</v>
      </c>
      <c r="GU258" t="s">
        <v>3</v>
      </c>
      <c r="GV258">
        <f t="shared" si="232"/>
        <v>0</v>
      </c>
      <c r="GW258">
        <v>1</v>
      </c>
      <c r="GX258">
        <f t="shared" si="233"/>
        <v>0</v>
      </c>
      <c r="HA258">
        <v>0</v>
      </c>
      <c r="HB258">
        <v>0</v>
      </c>
      <c r="IK258">
        <v>0</v>
      </c>
    </row>
    <row r="259" spans="1:245" x14ac:dyDescent="0.2">
      <c r="A259">
        <v>18</v>
      </c>
      <c r="B259">
        <v>1</v>
      </c>
      <c r="C259">
        <v>466</v>
      </c>
      <c r="E259" t="s">
        <v>617</v>
      </c>
      <c r="F259" t="s">
        <v>618</v>
      </c>
      <c r="G259" t="s">
        <v>619</v>
      </c>
      <c r="H259" t="s">
        <v>34</v>
      </c>
      <c r="I259">
        <f>I255*J259</f>
        <v>6.9999999999999994E-5</v>
      </c>
      <c r="J259">
        <v>6.9999999999999988E-4</v>
      </c>
      <c r="O259">
        <f t="shared" si="200"/>
        <v>0</v>
      </c>
      <c r="P259">
        <f t="shared" si="201"/>
        <v>0</v>
      </c>
      <c r="Q259">
        <f t="shared" si="202"/>
        <v>0</v>
      </c>
      <c r="R259">
        <f t="shared" si="203"/>
        <v>0</v>
      </c>
      <c r="S259">
        <f t="shared" si="204"/>
        <v>0</v>
      </c>
      <c r="T259">
        <f t="shared" si="205"/>
        <v>0</v>
      </c>
      <c r="U259">
        <f t="shared" si="206"/>
        <v>0</v>
      </c>
      <c r="V259">
        <f t="shared" si="207"/>
        <v>0</v>
      </c>
      <c r="W259">
        <f t="shared" si="208"/>
        <v>0</v>
      </c>
      <c r="X259">
        <f t="shared" si="209"/>
        <v>0</v>
      </c>
      <c r="Y259">
        <f t="shared" si="210"/>
        <v>0</v>
      </c>
      <c r="AA259">
        <v>39476960</v>
      </c>
      <c r="AB259">
        <f t="shared" si="211"/>
        <v>0</v>
      </c>
      <c r="AC259">
        <f t="shared" si="212"/>
        <v>0</v>
      </c>
      <c r="AD259">
        <f>ROUND((((ET259)-(EU259))+AE259),2)</f>
        <v>0</v>
      </c>
      <c r="AE259">
        <f t="shared" si="241"/>
        <v>0</v>
      </c>
      <c r="AF259">
        <f t="shared" si="241"/>
        <v>0</v>
      </c>
      <c r="AG259">
        <f t="shared" si="213"/>
        <v>0</v>
      </c>
      <c r="AH259">
        <f t="shared" si="242"/>
        <v>0</v>
      </c>
      <c r="AI259">
        <f t="shared" si="242"/>
        <v>0</v>
      </c>
      <c r="AJ259">
        <f t="shared" si="214"/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115</v>
      </c>
      <c r="AU259">
        <v>71</v>
      </c>
      <c r="AV259">
        <v>1</v>
      </c>
      <c r="AW259">
        <v>1</v>
      </c>
      <c r="AZ259">
        <v>6.13</v>
      </c>
      <c r="BA259">
        <v>1</v>
      </c>
      <c r="BB259">
        <v>1</v>
      </c>
      <c r="BC259">
        <v>6.13</v>
      </c>
      <c r="BD259" t="s">
        <v>3</v>
      </c>
      <c r="BE259" t="s">
        <v>3</v>
      </c>
      <c r="BF259" t="s">
        <v>3</v>
      </c>
      <c r="BG259" t="s">
        <v>3</v>
      </c>
      <c r="BH259">
        <v>3</v>
      </c>
      <c r="BI259">
        <v>1</v>
      </c>
      <c r="BJ259" t="s">
        <v>3</v>
      </c>
      <c r="BM259">
        <v>17001</v>
      </c>
      <c r="BN259">
        <v>0</v>
      </c>
      <c r="BO259" t="s">
        <v>3</v>
      </c>
      <c r="BP259">
        <v>0</v>
      </c>
      <c r="BQ259">
        <v>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128</v>
      </c>
      <c r="CA259">
        <v>83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15"/>
        <v>0</v>
      </c>
      <c r="CQ259">
        <f t="shared" si="216"/>
        <v>0</v>
      </c>
      <c r="CR259">
        <f t="shared" si="217"/>
        <v>0</v>
      </c>
      <c r="CS259">
        <f t="shared" si="218"/>
        <v>0</v>
      </c>
      <c r="CT259">
        <f t="shared" si="219"/>
        <v>0</v>
      </c>
      <c r="CU259">
        <f t="shared" si="220"/>
        <v>0</v>
      </c>
      <c r="CV259">
        <f t="shared" si="221"/>
        <v>0</v>
      </c>
      <c r="CW259">
        <f t="shared" si="222"/>
        <v>0</v>
      </c>
      <c r="CX259">
        <f t="shared" si="223"/>
        <v>0</v>
      </c>
      <c r="CY259">
        <f t="shared" si="224"/>
        <v>0</v>
      </c>
      <c r="CZ259">
        <f t="shared" si="225"/>
        <v>0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1009</v>
      </c>
      <c r="DV259" t="s">
        <v>34</v>
      </c>
      <c r="DW259" t="s">
        <v>34</v>
      </c>
      <c r="DX259">
        <v>1000</v>
      </c>
      <c r="EE259">
        <v>39174531</v>
      </c>
      <c r="EF259">
        <v>2</v>
      </c>
      <c r="EG259" t="s">
        <v>13</v>
      </c>
      <c r="EH259">
        <v>0</v>
      </c>
      <c r="EI259" t="s">
        <v>3</v>
      </c>
      <c r="EJ259">
        <v>1</v>
      </c>
      <c r="EK259">
        <v>17001</v>
      </c>
      <c r="EL259" t="s">
        <v>568</v>
      </c>
      <c r="EM259" t="s">
        <v>569</v>
      </c>
      <c r="EO259" t="s">
        <v>3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26"/>
        <v>0</v>
      </c>
      <c r="FS259">
        <v>0</v>
      </c>
      <c r="FT259" t="s">
        <v>29</v>
      </c>
      <c r="FU259" t="s">
        <v>30</v>
      </c>
      <c r="FX259">
        <v>115.2</v>
      </c>
      <c r="FY259">
        <v>70.55</v>
      </c>
      <c r="GA259" t="s">
        <v>3</v>
      </c>
      <c r="GD259">
        <v>0</v>
      </c>
      <c r="GF259">
        <v>-16342244</v>
      </c>
      <c r="GG259">
        <v>1</v>
      </c>
      <c r="GH259">
        <v>1</v>
      </c>
      <c r="GI259">
        <v>4</v>
      </c>
      <c r="GJ259">
        <v>0</v>
      </c>
      <c r="GK259">
        <f>ROUND(R259*(R12)/100,2)</f>
        <v>0</v>
      </c>
      <c r="GL259">
        <f t="shared" si="227"/>
        <v>0</v>
      </c>
      <c r="GM259">
        <f t="shared" si="228"/>
        <v>0</v>
      </c>
      <c r="GN259">
        <f t="shared" si="229"/>
        <v>0</v>
      </c>
      <c r="GO259">
        <f t="shared" si="230"/>
        <v>0</v>
      </c>
      <c r="GP259">
        <f t="shared" si="231"/>
        <v>0</v>
      </c>
      <c r="GR259">
        <v>0</v>
      </c>
      <c r="GS259">
        <v>3</v>
      </c>
      <c r="GT259">
        <v>0</v>
      </c>
      <c r="GU259" t="s">
        <v>3</v>
      </c>
      <c r="GV259">
        <f t="shared" si="232"/>
        <v>0</v>
      </c>
      <c r="GW259">
        <v>1</v>
      </c>
      <c r="GX259">
        <f t="shared" si="233"/>
        <v>0</v>
      </c>
      <c r="HA259">
        <v>0</v>
      </c>
      <c r="HB259">
        <v>0</v>
      </c>
      <c r="IK259">
        <v>0</v>
      </c>
    </row>
    <row r="260" spans="1:245" x14ac:dyDescent="0.2">
      <c r="A260">
        <v>18</v>
      </c>
      <c r="B260">
        <v>1</v>
      </c>
      <c r="C260">
        <v>471</v>
      </c>
      <c r="E260" t="s">
        <v>620</v>
      </c>
      <c r="F260" t="s">
        <v>621</v>
      </c>
      <c r="G260" t="s">
        <v>622</v>
      </c>
      <c r="H260" t="s">
        <v>152</v>
      </c>
      <c r="I260">
        <f>I255*J260</f>
        <v>1</v>
      </c>
      <c r="J260">
        <v>10</v>
      </c>
      <c r="O260">
        <f t="shared" si="200"/>
        <v>0</v>
      </c>
      <c r="P260">
        <f t="shared" si="201"/>
        <v>0</v>
      </c>
      <c r="Q260">
        <f t="shared" si="202"/>
        <v>0</v>
      </c>
      <c r="R260">
        <f t="shared" si="203"/>
        <v>0</v>
      </c>
      <c r="S260">
        <f t="shared" si="204"/>
        <v>0</v>
      </c>
      <c r="T260">
        <f t="shared" si="205"/>
        <v>0</v>
      </c>
      <c r="U260">
        <f t="shared" si="206"/>
        <v>0</v>
      </c>
      <c r="V260">
        <f t="shared" si="207"/>
        <v>0</v>
      </c>
      <c r="W260">
        <f t="shared" si="208"/>
        <v>0</v>
      </c>
      <c r="X260">
        <f t="shared" si="209"/>
        <v>0</v>
      </c>
      <c r="Y260">
        <f t="shared" si="210"/>
        <v>0</v>
      </c>
      <c r="AA260">
        <v>39476960</v>
      </c>
      <c r="AB260">
        <f t="shared" si="211"/>
        <v>0</v>
      </c>
      <c r="AC260">
        <f t="shared" si="212"/>
        <v>0</v>
      </c>
      <c r="AD260">
        <f>ROUND((((ET260)-(EU260))+AE260),2)</f>
        <v>0</v>
      </c>
      <c r="AE260">
        <f t="shared" si="241"/>
        <v>0</v>
      </c>
      <c r="AF260">
        <f t="shared" si="241"/>
        <v>0</v>
      </c>
      <c r="AG260">
        <f t="shared" si="213"/>
        <v>0</v>
      </c>
      <c r="AH260">
        <f t="shared" si="242"/>
        <v>0</v>
      </c>
      <c r="AI260">
        <f t="shared" si="242"/>
        <v>0</v>
      </c>
      <c r="AJ260">
        <f t="shared" si="214"/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115</v>
      </c>
      <c r="AU260">
        <v>71</v>
      </c>
      <c r="AV260">
        <v>1</v>
      </c>
      <c r="AW260">
        <v>1</v>
      </c>
      <c r="AZ260">
        <v>6.13</v>
      </c>
      <c r="BA260">
        <v>1</v>
      </c>
      <c r="BB260">
        <v>1</v>
      </c>
      <c r="BC260">
        <v>6.13</v>
      </c>
      <c r="BD260" t="s">
        <v>3</v>
      </c>
      <c r="BE260" t="s">
        <v>3</v>
      </c>
      <c r="BF260" t="s">
        <v>3</v>
      </c>
      <c r="BG260" t="s">
        <v>3</v>
      </c>
      <c r="BH260">
        <v>3</v>
      </c>
      <c r="BI260">
        <v>1</v>
      </c>
      <c r="BJ260" t="s">
        <v>3</v>
      </c>
      <c r="BM260">
        <v>17001</v>
      </c>
      <c r="BN260">
        <v>0</v>
      </c>
      <c r="BO260" t="s">
        <v>3</v>
      </c>
      <c r="BP260">
        <v>0</v>
      </c>
      <c r="BQ260">
        <v>2</v>
      </c>
      <c r="BR260">
        <v>0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128</v>
      </c>
      <c r="CA260">
        <v>83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215"/>
        <v>0</v>
      </c>
      <c r="CQ260">
        <f t="shared" si="216"/>
        <v>0</v>
      </c>
      <c r="CR260">
        <f t="shared" si="217"/>
        <v>0</v>
      </c>
      <c r="CS260">
        <f t="shared" si="218"/>
        <v>0</v>
      </c>
      <c r="CT260">
        <f t="shared" si="219"/>
        <v>0</v>
      </c>
      <c r="CU260">
        <f t="shared" si="220"/>
        <v>0</v>
      </c>
      <c r="CV260">
        <f t="shared" si="221"/>
        <v>0</v>
      </c>
      <c r="CW260">
        <f t="shared" si="222"/>
        <v>0</v>
      </c>
      <c r="CX260">
        <f t="shared" si="223"/>
        <v>0</v>
      </c>
      <c r="CY260">
        <f t="shared" si="224"/>
        <v>0</v>
      </c>
      <c r="CZ260">
        <f t="shared" si="225"/>
        <v>0</v>
      </c>
      <c r="DC260" t="s">
        <v>3</v>
      </c>
      <c r="DD260" t="s">
        <v>3</v>
      </c>
      <c r="DE260" t="s">
        <v>3</v>
      </c>
      <c r="DF260" t="s">
        <v>3</v>
      </c>
      <c r="DG260" t="s">
        <v>3</v>
      </c>
      <c r="DH260" t="s">
        <v>3</v>
      </c>
      <c r="DI260" t="s">
        <v>3</v>
      </c>
      <c r="DJ260" t="s">
        <v>3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152</v>
      </c>
      <c r="DW260" t="s">
        <v>152</v>
      </c>
      <c r="DX260">
        <v>1</v>
      </c>
      <c r="EE260">
        <v>39174531</v>
      </c>
      <c r="EF260">
        <v>2</v>
      </c>
      <c r="EG260" t="s">
        <v>13</v>
      </c>
      <c r="EH260">
        <v>0</v>
      </c>
      <c r="EI260" t="s">
        <v>3</v>
      </c>
      <c r="EJ260">
        <v>1</v>
      </c>
      <c r="EK260">
        <v>17001</v>
      </c>
      <c r="EL260" t="s">
        <v>568</v>
      </c>
      <c r="EM260" t="s">
        <v>569</v>
      </c>
      <c r="EO260" t="s">
        <v>3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FQ260">
        <v>0</v>
      </c>
      <c r="FR260">
        <f t="shared" si="226"/>
        <v>0</v>
      </c>
      <c r="FS260">
        <v>0</v>
      </c>
      <c r="FT260" t="s">
        <v>29</v>
      </c>
      <c r="FU260" t="s">
        <v>30</v>
      </c>
      <c r="FX260">
        <v>115.2</v>
      </c>
      <c r="FY260">
        <v>70.55</v>
      </c>
      <c r="GA260" t="s">
        <v>3</v>
      </c>
      <c r="GD260">
        <v>0</v>
      </c>
      <c r="GF260">
        <v>195171381</v>
      </c>
      <c r="GG260">
        <v>1</v>
      </c>
      <c r="GH260">
        <v>1</v>
      </c>
      <c r="GI260">
        <v>4</v>
      </c>
      <c r="GJ260">
        <v>0</v>
      </c>
      <c r="GK260">
        <f>ROUND(R260*(R12)/100,2)</f>
        <v>0</v>
      </c>
      <c r="GL260">
        <f t="shared" si="227"/>
        <v>0</v>
      </c>
      <c r="GM260">
        <f t="shared" si="228"/>
        <v>0</v>
      </c>
      <c r="GN260">
        <f t="shared" si="229"/>
        <v>0</v>
      </c>
      <c r="GO260">
        <f t="shared" si="230"/>
        <v>0</v>
      </c>
      <c r="GP260">
        <f t="shared" si="231"/>
        <v>0</v>
      </c>
      <c r="GR260">
        <v>0</v>
      </c>
      <c r="GS260">
        <v>3</v>
      </c>
      <c r="GT260">
        <v>0</v>
      </c>
      <c r="GU260" t="s">
        <v>3</v>
      </c>
      <c r="GV260">
        <f t="shared" si="232"/>
        <v>0</v>
      </c>
      <c r="GW260">
        <v>1</v>
      </c>
      <c r="GX260">
        <f t="shared" si="233"/>
        <v>0</v>
      </c>
      <c r="HA260">
        <v>0</v>
      </c>
      <c r="HB260">
        <v>0</v>
      </c>
      <c r="IK260">
        <v>0</v>
      </c>
    </row>
    <row r="261" spans="1:245" x14ac:dyDescent="0.2">
      <c r="A261">
        <v>17</v>
      </c>
      <c r="B261">
        <v>1</v>
      </c>
      <c r="C261">
        <f>ROW(SmtRes!A479)</f>
        <v>479</v>
      </c>
      <c r="D261">
        <f>ROW(EtalonRes!A444)</f>
        <v>444</v>
      </c>
      <c r="E261" t="s">
        <v>623</v>
      </c>
      <c r="F261" t="s">
        <v>624</v>
      </c>
      <c r="G261" t="s">
        <v>625</v>
      </c>
      <c r="H261" t="s">
        <v>609</v>
      </c>
      <c r="I261">
        <f>ROUND(2/10,9)</f>
        <v>0.2</v>
      </c>
      <c r="J261">
        <v>0</v>
      </c>
      <c r="O261">
        <f t="shared" si="200"/>
        <v>222.84</v>
      </c>
      <c r="P261">
        <f t="shared" si="201"/>
        <v>51.39</v>
      </c>
      <c r="Q261">
        <f t="shared" si="202"/>
        <v>28.71</v>
      </c>
      <c r="R261">
        <f t="shared" si="203"/>
        <v>6.53</v>
      </c>
      <c r="S261">
        <f t="shared" si="204"/>
        <v>142.74</v>
      </c>
      <c r="T261">
        <f t="shared" si="205"/>
        <v>0</v>
      </c>
      <c r="U261">
        <f t="shared" si="206"/>
        <v>2.4205199999999998</v>
      </c>
      <c r="V261">
        <f t="shared" si="207"/>
        <v>8.7000000000000008E-2</v>
      </c>
      <c r="W261">
        <f t="shared" si="208"/>
        <v>0</v>
      </c>
      <c r="X261">
        <f t="shared" si="209"/>
        <v>171.66</v>
      </c>
      <c r="Y261">
        <f t="shared" si="210"/>
        <v>105.98</v>
      </c>
      <c r="AA261">
        <v>39476960</v>
      </c>
      <c r="AB261">
        <f t="shared" si="211"/>
        <v>181.77</v>
      </c>
      <c r="AC261">
        <f t="shared" si="212"/>
        <v>41.92</v>
      </c>
      <c r="AD261">
        <f>ROUND((((((ET261*1.25)*1.2))-(((EU261*1.25)*1.2)))+AE261),2)</f>
        <v>23.42</v>
      </c>
      <c r="AE261">
        <f>ROUND((((EU261*1.25)*1.2)),2)</f>
        <v>5.33</v>
      </c>
      <c r="AF261">
        <f>ROUND((((EV261*1.15)*1.2)),2)</f>
        <v>116.43</v>
      </c>
      <c r="AG261">
        <f t="shared" si="213"/>
        <v>0</v>
      </c>
      <c r="AH261">
        <f>(((EW261*1.15)*1.2))</f>
        <v>12.102599999999997</v>
      </c>
      <c r="AI261">
        <f>(((EX261*1.25)*1.2))</f>
        <v>0.435</v>
      </c>
      <c r="AJ261">
        <f t="shared" si="214"/>
        <v>0</v>
      </c>
      <c r="AK261">
        <v>141.9</v>
      </c>
      <c r="AL261">
        <v>41.92</v>
      </c>
      <c r="AM261">
        <v>15.61</v>
      </c>
      <c r="AN261">
        <v>3.55</v>
      </c>
      <c r="AO261">
        <v>84.37</v>
      </c>
      <c r="AP261">
        <v>0</v>
      </c>
      <c r="AQ261">
        <v>8.77</v>
      </c>
      <c r="AR261">
        <v>0.28999999999999998</v>
      </c>
      <c r="AS261">
        <v>0</v>
      </c>
      <c r="AT261">
        <v>115</v>
      </c>
      <c r="AU261">
        <v>71</v>
      </c>
      <c r="AV261">
        <v>1</v>
      </c>
      <c r="AW261">
        <v>1</v>
      </c>
      <c r="AZ261">
        <v>6.13</v>
      </c>
      <c r="BA261">
        <v>6.13</v>
      </c>
      <c r="BB261">
        <v>6.13</v>
      </c>
      <c r="BC261">
        <v>6.13</v>
      </c>
      <c r="BD261" t="s">
        <v>3</v>
      </c>
      <c r="BE261" t="s">
        <v>3</v>
      </c>
      <c r="BF261" t="s">
        <v>3</v>
      </c>
      <c r="BG261" t="s">
        <v>3</v>
      </c>
      <c r="BH261">
        <v>0</v>
      </c>
      <c r="BI261">
        <v>1</v>
      </c>
      <c r="BJ261" t="s">
        <v>626</v>
      </c>
      <c r="BM261">
        <v>17001</v>
      </c>
      <c r="BN261">
        <v>0</v>
      </c>
      <c r="BO261" t="s">
        <v>3</v>
      </c>
      <c r="BP261">
        <v>0</v>
      </c>
      <c r="BQ261">
        <v>2</v>
      </c>
      <c r="BR261">
        <v>0</v>
      </c>
      <c r="BS261">
        <v>6.13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128</v>
      </c>
      <c r="CA261">
        <v>83</v>
      </c>
      <c r="CF261">
        <v>0</v>
      </c>
      <c r="CG261">
        <v>0</v>
      </c>
      <c r="CM261">
        <v>0</v>
      </c>
      <c r="CN261" t="s">
        <v>1274</v>
      </c>
      <c r="CO261">
        <v>0</v>
      </c>
      <c r="CP261">
        <f t="shared" si="215"/>
        <v>222.84</v>
      </c>
      <c r="CQ261">
        <f t="shared" si="216"/>
        <v>256.96960000000001</v>
      </c>
      <c r="CR261">
        <f t="shared" si="217"/>
        <v>143.56460000000001</v>
      </c>
      <c r="CS261">
        <f t="shared" si="218"/>
        <v>32.672899999999998</v>
      </c>
      <c r="CT261">
        <f t="shared" si="219"/>
        <v>713.71590000000003</v>
      </c>
      <c r="CU261">
        <f t="shared" si="220"/>
        <v>0</v>
      </c>
      <c r="CV261">
        <f t="shared" si="221"/>
        <v>12.102599999999997</v>
      </c>
      <c r="CW261">
        <f t="shared" si="222"/>
        <v>0.435</v>
      </c>
      <c r="CX261">
        <f t="shared" si="223"/>
        <v>0</v>
      </c>
      <c r="CY261">
        <f t="shared" si="224"/>
        <v>171.66050000000004</v>
      </c>
      <c r="CZ261">
        <f t="shared" si="225"/>
        <v>105.9817</v>
      </c>
      <c r="DC261" t="s">
        <v>3</v>
      </c>
      <c r="DD261" t="s">
        <v>3</v>
      </c>
      <c r="DE261" t="s">
        <v>53</v>
      </c>
      <c r="DF261" t="s">
        <v>53</v>
      </c>
      <c r="DG261" t="s">
        <v>54</v>
      </c>
      <c r="DH261" t="s">
        <v>3</v>
      </c>
      <c r="DI261" t="s">
        <v>54</v>
      </c>
      <c r="DJ261" t="s">
        <v>53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609</v>
      </c>
      <c r="DW261" t="s">
        <v>609</v>
      </c>
      <c r="DX261">
        <v>1</v>
      </c>
      <c r="EE261">
        <v>39174531</v>
      </c>
      <c r="EF261">
        <v>2</v>
      </c>
      <c r="EG261" t="s">
        <v>13</v>
      </c>
      <c r="EH261">
        <v>0</v>
      </c>
      <c r="EI261" t="s">
        <v>3</v>
      </c>
      <c r="EJ261">
        <v>1</v>
      </c>
      <c r="EK261">
        <v>17001</v>
      </c>
      <c r="EL261" t="s">
        <v>568</v>
      </c>
      <c r="EM261" t="s">
        <v>569</v>
      </c>
      <c r="EO261" t="s">
        <v>89</v>
      </c>
      <c r="EQ261">
        <v>0</v>
      </c>
      <c r="ER261">
        <v>141.9</v>
      </c>
      <c r="ES261">
        <v>41.92</v>
      </c>
      <c r="ET261">
        <v>15.61</v>
      </c>
      <c r="EU261">
        <v>3.55</v>
      </c>
      <c r="EV261">
        <v>84.37</v>
      </c>
      <c r="EW261">
        <v>8.77</v>
      </c>
      <c r="EX261">
        <v>0.28999999999999998</v>
      </c>
      <c r="EY261">
        <v>0</v>
      </c>
      <c r="FQ261">
        <v>0</v>
      </c>
      <c r="FR261">
        <f t="shared" si="226"/>
        <v>0</v>
      </c>
      <c r="FS261">
        <v>0</v>
      </c>
      <c r="FT261" t="s">
        <v>29</v>
      </c>
      <c r="FU261" t="s">
        <v>30</v>
      </c>
      <c r="FX261">
        <v>115.2</v>
      </c>
      <c r="FY261">
        <v>70.55</v>
      </c>
      <c r="GA261" t="s">
        <v>3</v>
      </c>
      <c r="GD261">
        <v>0</v>
      </c>
      <c r="GF261">
        <v>666201299</v>
      </c>
      <c r="GG261">
        <v>1</v>
      </c>
      <c r="GH261">
        <v>1</v>
      </c>
      <c r="GI261">
        <v>4</v>
      </c>
      <c r="GJ261">
        <v>0</v>
      </c>
      <c r="GK261">
        <f>ROUND(R261*(R12)/100,2)</f>
        <v>0</v>
      </c>
      <c r="GL261">
        <f t="shared" si="227"/>
        <v>0</v>
      </c>
      <c r="GM261">
        <f t="shared" si="228"/>
        <v>500.48</v>
      </c>
      <c r="GN261">
        <f t="shared" si="229"/>
        <v>500.48</v>
      </c>
      <c r="GO261">
        <f t="shared" si="230"/>
        <v>0</v>
      </c>
      <c r="GP261">
        <f t="shared" si="231"/>
        <v>0</v>
      </c>
      <c r="GR261">
        <v>0</v>
      </c>
      <c r="GS261">
        <v>3</v>
      </c>
      <c r="GT261">
        <v>0</v>
      </c>
      <c r="GU261" t="s">
        <v>3</v>
      </c>
      <c r="GV261">
        <f t="shared" si="232"/>
        <v>0</v>
      </c>
      <c r="GW261">
        <v>1</v>
      </c>
      <c r="GX261">
        <f t="shared" si="233"/>
        <v>0</v>
      </c>
      <c r="HA261">
        <v>0</v>
      </c>
      <c r="HB261">
        <v>0</v>
      </c>
      <c r="IK261">
        <v>0</v>
      </c>
    </row>
    <row r="262" spans="1:245" x14ac:dyDescent="0.2">
      <c r="A262">
        <v>18</v>
      </c>
      <c r="B262">
        <v>1</v>
      </c>
      <c r="C262">
        <v>478</v>
      </c>
      <c r="E262" t="s">
        <v>627</v>
      </c>
      <c r="F262" t="s">
        <v>628</v>
      </c>
      <c r="G262" t="s">
        <v>629</v>
      </c>
      <c r="H262" t="s">
        <v>415</v>
      </c>
      <c r="I262">
        <f>I261*J262</f>
        <v>2</v>
      </c>
      <c r="J262">
        <v>10</v>
      </c>
      <c r="O262">
        <f t="shared" si="200"/>
        <v>10069.379999999999</v>
      </c>
      <c r="P262">
        <f t="shared" si="201"/>
        <v>10069.379999999999</v>
      </c>
      <c r="Q262">
        <f t="shared" si="202"/>
        <v>0</v>
      </c>
      <c r="R262">
        <f t="shared" si="203"/>
        <v>0</v>
      </c>
      <c r="S262">
        <f t="shared" si="204"/>
        <v>0</v>
      </c>
      <c r="T262">
        <f t="shared" si="205"/>
        <v>0</v>
      </c>
      <c r="U262">
        <f t="shared" si="206"/>
        <v>0</v>
      </c>
      <c r="V262">
        <f t="shared" si="207"/>
        <v>0</v>
      </c>
      <c r="W262">
        <f t="shared" si="208"/>
        <v>0</v>
      </c>
      <c r="X262">
        <f t="shared" si="209"/>
        <v>0</v>
      </c>
      <c r="Y262">
        <f t="shared" si="210"/>
        <v>0</v>
      </c>
      <c r="AA262">
        <v>39476960</v>
      </c>
      <c r="AB262">
        <f t="shared" si="211"/>
        <v>821.32</v>
      </c>
      <c r="AC262">
        <f t="shared" si="212"/>
        <v>821.32</v>
      </c>
      <c r="AD262">
        <f>ROUND((((ET262)-(EU262))+AE262),2)</f>
        <v>0</v>
      </c>
      <c r="AE262">
        <f>ROUND((EU262),2)</f>
        <v>0</v>
      </c>
      <c r="AF262">
        <f>ROUND((EV262),2)</f>
        <v>0</v>
      </c>
      <c r="AG262">
        <f t="shared" si="213"/>
        <v>0</v>
      </c>
      <c r="AH262">
        <f>(EW262)</f>
        <v>0</v>
      </c>
      <c r="AI262">
        <f>(EX262)</f>
        <v>0</v>
      </c>
      <c r="AJ262">
        <f t="shared" si="214"/>
        <v>0</v>
      </c>
      <c r="AK262">
        <v>821.32</v>
      </c>
      <c r="AL262">
        <v>821.32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115</v>
      </c>
      <c r="AU262">
        <v>71</v>
      </c>
      <c r="AV262">
        <v>1</v>
      </c>
      <c r="AW262">
        <v>1</v>
      </c>
      <c r="AZ262">
        <v>6.13</v>
      </c>
      <c r="BA262">
        <v>1</v>
      </c>
      <c r="BB262">
        <v>1</v>
      </c>
      <c r="BC262">
        <v>6.13</v>
      </c>
      <c r="BD262" t="s">
        <v>3</v>
      </c>
      <c r="BE262" t="s">
        <v>3</v>
      </c>
      <c r="BF262" t="s">
        <v>3</v>
      </c>
      <c r="BG262" t="s">
        <v>3</v>
      </c>
      <c r="BH262">
        <v>3</v>
      </c>
      <c r="BI262">
        <v>1</v>
      </c>
      <c r="BJ262" t="s">
        <v>630</v>
      </c>
      <c r="BM262">
        <v>17001</v>
      </c>
      <c r="BN262">
        <v>0</v>
      </c>
      <c r="BO262" t="s">
        <v>3</v>
      </c>
      <c r="BP262">
        <v>0</v>
      </c>
      <c r="BQ262">
        <v>2</v>
      </c>
      <c r="BR262">
        <v>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128</v>
      </c>
      <c r="CA262">
        <v>83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215"/>
        <v>10069.379999999999</v>
      </c>
      <c r="CQ262">
        <f t="shared" si="216"/>
        <v>5034.6916000000001</v>
      </c>
      <c r="CR262">
        <f t="shared" si="217"/>
        <v>0</v>
      </c>
      <c r="CS262">
        <f t="shared" si="218"/>
        <v>0</v>
      </c>
      <c r="CT262">
        <f t="shared" si="219"/>
        <v>0</v>
      </c>
      <c r="CU262">
        <f t="shared" si="220"/>
        <v>0</v>
      </c>
      <c r="CV262">
        <f t="shared" si="221"/>
        <v>0</v>
      </c>
      <c r="CW262">
        <f t="shared" si="222"/>
        <v>0</v>
      </c>
      <c r="CX262">
        <f t="shared" si="223"/>
        <v>0</v>
      </c>
      <c r="CY262">
        <f t="shared" si="224"/>
        <v>0</v>
      </c>
      <c r="CZ262">
        <f t="shared" si="225"/>
        <v>0</v>
      </c>
      <c r="DC262" t="s">
        <v>3</v>
      </c>
      <c r="DD262" t="s">
        <v>3</v>
      </c>
      <c r="DE262" t="s">
        <v>3</v>
      </c>
      <c r="DF262" t="s">
        <v>3</v>
      </c>
      <c r="DG262" t="s">
        <v>3</v>
      </c>
      <c r="DH262" t="s">
        <v>3</v>
      </c>
      <c r="DI262" t="s">
        <v>3</v>
      </c>
      <c r="DJ262" t="s">
        <v>3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1010</v>
      </c>
      <c r="DV262" t="s">
        <v>415</v>
      </c>
      <c r="DW262" t="s">
        <v>415</v>
      </c>
      <c r="DX262">
        <v>1</v>
      </c>
      <c r="EE262">
        <v>39174531</v>
      </c>
      <c r="EF262">
        <v>2</v>
      </c>
      <c r="EG262" t="s">
        <v>13</v>
      </c>
      <c r="EH262">
        <v>0</v>
      </c>
      <c r="EI262" t="s">
        <v>3</v>
      </c>
      <c r="EJ262">
        <v>1</v>
      </c>
      <c r="EK262">
        <v>17001</v>
      </c>
      <c r="EL262" t="s">
        <v>568</v>
      </c>
      <c r="EM262" t="s">
        <v>569</v>
      </c>
      <c r="EO262" t="s">
        <v>3</v>
      </c>
      <c r="EQ262">
        <v>0</v>
      </c>
      <c r="ER262">
        <v>821.32</v>
      </c>
      <c r="ES262">
        <v>821.32</v>
      </c>
      <c r="ET262">
        <v>0</v>
      </c>
      <c r="EU262">
        <v>0</v>
      </c>
      <c r="EV262">
        <v>0</v>
      </c>
      <c r="EW262">
        <v>0</v>
      </c>
      <c r="EX262">
        <v>0</v>
      </c>
      <c r="FQ262">
        <v>0</v>
      </c>
      <c r="FR262">
        <f t="shared" si="226"/>
        <v>0</v>
      </c>
      <c r="FS262">
        <v>0</v>
      </c>
      <c r="FT262" t="s">
        <v>29</v>
      </c>
      <c r="FU262" t="s">
        <v>30</v>
      </c>
      <c r="FX262">
        <v>115.2</v>
      </c>
      <c r="FY262">
        <v>70.55</v>
      </c>
      <c r="GA262" t="s">
        <v>3</v>
      </c>
      <c r="GD262">
        <v>0</v>
      </c>
      <c r="GF262">
        <v>805099624</v>
      </c>
      <c r="GG262">
        <v>1</v>
      </c>
      <c r="GH262">
        <v>1</v>
      </c>
      <c r="GI262">
        <v>4</v>
      </c>
      <c r="GJ262">
        <v>0</v>
      </c>
      <c r="GK262">
        <f>ROUND(R262*(R12)/100,2)</f>
        <v>0</v>
      </c>
      <c r="GL262">
        <f t="shared" si="227"/>
        <v>0</v>
      </c>
      <c r="GM262">
        <f t="shared" si="228"/>
        <v>10069.379999999999</v>
      </c>
      <c r="GN262">
        <f t="shared" si="229"/>
        <v>10069.379999999999</v>
      </c>
      <c r="GO262">
        <f t="shared" si="230"/>
        <v>0</v>
      </c>
      <c r="GP262">
        <f t="shared" si="231"/>
        <v>0</v>
      </c>
      <c r="GR262">
        <v>0</v>
      </c>
      <c r="GS262">
        <v>3</v>
      </c>
      <c r="GT262">
        <v>0</v>
      </c>
      <c r="GU262" t="s">
        <v>3</v>
      </c>
      <c r="GV262">
        <f t="shared" si="232"/>
        <v>0</v>
      </c>
      <c r="GW262">
        <v>1</v>
      </c>
      <c r="GX262">
        <f t="shared" si="233"/>
        <v>0</v>
      </c>
      <c r="HA262">
        <v>0</v>
      </c>
      <c r="HB262">
        <v>0</v>
      </c>
      <c r="IK262">
        <v>0</v>
      </c>
    </row>
    <row r="263" spans="1:245" x14ac:dyDescent="0.2">
      <c r="A263">
        <v>18</v>
      </c>
      <c r="B263">
        <v>1</v>
      </c>
      <c r="C263">
        <v>479</v>
      </c>
      <c r="E263" t="s">
        <v>631</v>
      </c>
      <c r="F263" t="s">
        <v>621</v>
      </c>
      <c r="G263" t="s">
        <v>622</v>
      </c>
      <c r="H263" t="s">
        <v>152</v>
      </c>
      <c r="I263">
        <f>I261*J263</f>
        <v>2</v>
      </c>
      <c r="J263">
        <v>10</v>
      </c>
      <c r="O263">
        <f t="shared" si="200"/>
        <v>0</v>
      </c>
      <c r="P263">
        <f t="shared" si="201"/>
        <v>0</v>
      </c>
      <c r="Q263">
        <f t="shared" si="202"/>
        <v>0</v>
      </c>
      <c r="R263">
        <f t="shared" si="203"/>
        <v>0</v>
      </c>
      <c r="S263">
        <f t="shared" si="204"/>
        <v>0</v>
      </c>
      <c r="T263">
        <f t="shared" si="205"/>
        <v>0</v>
      </c>
      <c r="U263">
        <f t="shared" si="206"/>
        <v>0</v>
      </c>
      <c r="V263">
        <f t="shared" si="207"/>
        <v>0</v>
      </c>
      <c r="W263">
        <f t="shared" si="208"/>
        <v>0</v>
      </c>
      <c r="X263">
        <f t="shared" si="209"/>
        <v>0</v>
      </c>
      <c r="Y263">
        <f t="shared" si="210"/>
        <v>0</v>
      </c>
      <c r="AA263">
        <v>39476960</v>
      </c>
      <c r="AB263">
        <f t="shared" si="211"/>
        <v>0</v>
      </c>
      <c r="AC263">
        <f t="shared" si="212"/>
        <v>0</v>
      </c>
      <c r="AD263">
        <f>ROUND((((ET263)-(EU263))+AE263),2)</f>
        <v>0</v>
      </c>
      <c r="AE263">
        <f>ROUND((EU263),2)</f>
        <v>0</v>
      </c>
      <c r="AF263">
        <f>ROUND((EV263),2)</f>
        <v>0</v>
      </c>
      <c r="AG263">
        <f t="shared" si="213"/>
        <v>0</v>
      </c>
      <c r="AH263">
        <f>(EW263)</f>
        <v>0</v>
      </c>
      <c r="AI263">
        <f>(EX263)</f>
        <v>0</v>
      </c>
      <c r="AJ263">
        <f t="shared" si="214"/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115</v>
      </c>
      <c r="AU263">
        <v>71</v>
      </c>
      <c r="AV263">
        <v>1</v>
      </c>
      <c r="AW263">
        <v>1</v>
      </c>
      <c r="AZ263">
        <v>6.13</v>
      </c>
      <c r="BA263">
        <v>1</v>
      </c>
      <c r="BB263">
        <v>1</v>
      </c>
      <c r="BC263">
        <v>6.13</v>
      </c>
      <c r="BD263" t="s">
        <v>3</v>
      </c>
      <c r="BE263" t="s">
        <v>3</v>
      </c>
      <c r="BF263" t="s">
        <v>3</v>
      </c>
      <c r="BG263" t="s">
        <v>3</v>
      </c>
      <c r="BH263">
        <v>3</v>
      </c>
      <c r="BI263">
        <v>1</v>
      </c>
      <c r="BJ263" t="s">
        <v>3</v>
      </c>
      <c r="BM263">
        <v>17001</v>
      </c>
      <c r="BN263">
        <v>0</v>
      </c>
      <c r="BO263" t="s">
        <v>3</v>
      </c>
      <c r="BP263">
        <v>0</v>
      </c>
      <c r="BQ263">
        <v>2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128</v>
      </c>
      <c r="CA263">
        <v>83</v>
      </c>
      <c r="CF263">
        <v>0</v>
      </c>
      <c r="CG263">
        <v>0</v>
      </c>
      <c r="CM263">
        <v>0</v>
      </c>
      <c r="CN263" t="s">
        <v>3</v>
      </c>
      <c r="CO263">
        <v>0</v>
      </c>
      <c r="CP263">
        <f t="shared" si="215"/>
        <v>0</v>
      </c>
      <c r="CQ263">
        <f t="shared" si="216"/>
        <v>0</v>
      </c>
      <c r="CR263">
        <f t="shared" si="217"/>
        <v>0</v>
      </c>
      <c r="CS263">
        <f t="shared" si="218"/>
        <v>0</v>
      </c>
      <c r="CT263">
        <f t="shared" si="219"/>
        <v>0</v>
      </c>
      <c r="CU263">
        <f t="shared" si="220"/>
        <v>0</v>
      </c>
      <c r="CV263">
        <f t="shared" si="221"/>
        <v>0</v>
      </c>
      <c r="CW263">
        <f t="shared" si="222"/>
        <v>0</v>
      </c>
      <c r="CX263">
        <f t="shared" si="223"/>
        <v>0</v>
      </c>
      <c r="CY263">
        <f t="shared" si="224"/>
        <v>0</v>
      </c>
      <c r="CZ263">
        <f t="shared" si="225"/>
        <v>0</v>
      </c>
      <c r="DC263" t="s">
        <v>3</v>
      </c>
      <c r="DD263" t="s">
        <v>3</v>
      </c>
      <c r="DE263" t="s">
        <v>3</v>
      </c>
      <c r="DF263" t="s">
        <v>3</v>
      </c>
      <c r="DG263" t="s">
        <v>3</v>
      </c>
      <c r="DH263" t="s">
        <v>3</v>
      </c>
      <c r="DI263" t="s">
        <v>3</v>
      </c>
      <c r="DJ263" t="s">
        <v>3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152</v>
      </c>
      <c r="DW263" t="s">
        <v>152</v>
      </c>
      <c r="DX263">
        <v>1</v>
      </c>
      <c r="EE263">
        <v>39174531</v>
      </c>
      <c r="EF263">
        <v>2</v>
      </c>
      <c r="EG263" t="s">
        <v>13</v>
      </c>
      <c r="EH263">
        <v>0</v>
      </c>
      <c r="EI263" t="s">
        <v>3</v>
      </c>
      <c r="EJ263">
        <v>1</v>
      </c>
      <c r="EK263">
        <v>17001</v>
      </c>
      <c r="EL263" t="s">
        <v>568</v>
      </c>
      <c r="EM263" t="s">
        <v>569</v>
      </c>
      <c r="EO263" t="s">
        <v>3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FQ263">
        <v>0</v>
      </c>
      <c r="FR263">
        <f t="shared" si="226"/>
        <v>0</v>
      </c>
      <c r="FS263">
        <v>0</v>
      </c>
      <c r="FT263" t="s">
        <v>29</v>
      </c>
      <c r="FU263" t="s">
        <v>30</v>
      </c>
      <c r="FX263">
        <v>115.2</v>
      </c>
      <c r="FY263">
        <v>70.55</v>
      </c>
      <c r="GA263" t="s">
        <v>3</v>
      </c>
      <c r="GD263">
        <v>0</v>
      </c>
      <c r="GF263">
        <v>195171381</v>
      </c>
      <c r="GG263">
        <v>1</v>
      </c>
      <c r="GH263">
        <v>1</v>
      </c>
      <c r="GI263">
        <v>4</v>
      </c>
      <c r="GJ263">
        <v>0</v>
      </c>
      <c r="GK263">
        <f>ROUND(R263*(R12)/100,2)</f>
        <v>0</v>
      </c>
      <c r="GL263">
        <f t="shared" si="227"/>
        <v>0</v>
      </c>
      <c r="GM263">
        <f t="shared" si="228"/>
        <v>0</v>
      </c>
      <c r="GN263">
        <f t="shared" si="229"/>
        <v>0</v>
      </c>
      <c r="GO263">
        <f t="shared" si="230"/>
        <v>0</v>
      </c>
      <c r="GP263">
        <f t="shared" si="231"/>
        <v>0</v>
      </c>
      <c r="GR263">
        <v>0</v>
      </c>
      <c r="GS263">
        <v>3</v>
      </c>
      <c r="GT263">
        <v>0</v>
      </c>
      <c r="GU263" t="s">
        <v>3</v>
      </c>
      <c r="GV263">
        <f t="shared" si="232"/>
        <v>0</v>
      </c>
      <c r="GW263">
        <v>1</v>
      </c>
      <c r="GX263">
        <f t="shared" si="233"/>
        <v>0</v>
      </c>
      <c r="HA263">
        <v>0</v>
      </c>
      <c r="HB263">
        <v>0</v>
      </c>
      <c r="IK263">
        <v>0</v>
      </c>
    </row>
    <row r="264" spans="1:245" x14ac:dyDescent="0.2">
      <c r="A264">
        <v>17</v>
      </c>
      <c r="B264">
        <v>1</v>
      </c>
      <c r="C264">
        <f>ROW(SmtRes!A496)</f>
        <v>496</v>
      </c>
      <c r="D264">
        <f>ROW(EtalonRes!A459)</f>
        <v>459</v>
      </c>
      <c r="E264" t="s">
        <v>632</v>
      </c>
      <c r="F264" t="s">
        <v>633</v>
      </c>
      <c r="G264" t="s">
        <v>634</v>
      </c>
      <c r="H264" t="s">
        <v>609</v>
      </c>
      <c r="I264">
        <f>ROUND(1/10,9)</f>
        <v>0.1</v>
      </c>
      <c r="J264">
        <v>0</v>
      </c>
      <c r="O264">
        <f t="shared" si="200"/>
        <v>348.48</v>
      </c>
      <c r="P264">
        <f t="shared" si="201"/>
        <v>117.49</v>
      </c>
      <c r="Q264">
        <f t="shared" si="202"/>
        <v>32.76</v>
      </c>
      <c r="R264">
        <f t="shared" si="203"/>
        <v>8.1300000000000008</v>
      </c>
      <c r="S264">
        <f t="shared" si="204"/>
        <v>198.23</v>
      </c>
      <c r="T264">
        <f t="shared" si="205"/>
        <v>0</v>
      </c>
      <c r="U264">
        <f t="shared" si="206"/>
        <v>3.4003200000000002</v>
      </c>
      <c r="V264">
        <f t="shared" si="207"/>
        <v>0.1065</v>
      </c>
      <c r="W264">
        <f t="shared" si="208"/>
        <v>0</v>
      </c>
      <c r="X264">
        <f t="shared" si="209"/>
        <v>237.31</v>
      </c>
      <c r="Y264">
        <f t="shared" si="210"/>
        <v>146.52000000000001</v>
      </c>
      <c r="AA264">
        <v>39476960</v>
      </c>
      <c r="AB264">
        <f t="shared" si="211"/>
        <v>568.5</v>
      </c>
      <c r="AC264">
        <f t="shared" si="212"/>
        <v>191.67</v>
      </c>
      <c r="AD264">
        <f>ROUND((((((ET264*1.25)*1.2))-(((EU264*1.25)*1.2)))+AE264),2)</f>
        <v>53.45</v>
      </c>
      <c r="AE264">
        <f>ROUND((((EU264*1.25)*1.2)),2)</f>
        <v>13.26</v>
      </c>
      <c r="AF264">
        <f>ROUND((((EV264*1.15)*1.2)),2)</f>
        <v>323.38</v>
      </c>
      <c r="AG264">
        <f t="shared" si="213"/>
        <v>0</v>
      </c>
      <c r="AH264">
        <f>(((EW264*1.15)*1.2))</f>
        <v>34.0032</v>
      </c>
      <c r="AI264">
        <f>(((EX264*1.25)*1.2))</f>
        <v>1.0649999999999999</v>
      </c>
      <c r="AJ264">
        <f t="shared" si="214"/>
        <v>0</v>
      </c>
      <c r="AK264">
        <v>461.63</v>
      </c>
      <c r="AL264">
        <v>191.67</v>
      </c>
      <c r="AM264">
        <v>35.630000000000003</v>
      </c>
      <c r="AN264">
        <v>8.84</v>
      </c>
      <c r="AO264">
        <v>234.33</v>
      </c>
      <c r="AP264">
        <v>0</v>
      </c>
      <c r="AQ264">
        <v>24.64</v>
      </c>
      <c r="AR264">
        <v>0.71</v>
      </c>
      <c r="AS264">
        <v>0</v>
      </c>
      <c r="AT264">
        <v>115</v>
      </c>
      <c r="AU264">
        <v>71</v>
      </c>
      <c r="AV264">
        <v>1</v>
      </c>
      <c r="AW264">
        <v>1</v>
      </c>
      <c r="AZ264">
        <v>6.13</v>
      </c>
      <c r="BA264">
        <v>6.13</v>
      </c>
      <c r="BB264">
        <v>6.13</v>
      </c>
      <c r="BC264">
        <v>6.13</v>
      </c>
      <c r="BD264" t="s">
        <v>3</v>
      </c>
      <c r="BE264" t="s">
        <v>3</v>
      </c>
      <c r="BF264" t="s">
        <v>3</v>
      </c>
      <c r="BG264" t="s">
        <v>3</v>
      </c>
      <c r="BH264">
        <v>0</v>
      </c>
      <c r="BI264">
        <v>1</v>
      </c>
      <c r="BJ264" t="s">
        <v>635</v>
      </c>
      <c r="BM264">
        <v>17001</v>
      </c>
      <c r="BN264">
        <v>0</v>
      </c>
      <c r="BO264" t="s">
        <v>3</v>
      </c>
      <c r="BP264">
        <v>0</v>
      </c>
      <c r="BQ264">
        <v>2</v>
      </c>
      <c r="BR264">
        <v>0</v>
      </c>
      <c r="BS264">
        <v>6.13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128</v>
      </c>
      <c r="CA264">
        <v>83</v>
      </c>
      <c r="CF264">
        <v>0</v>
      </c>
      <c r="CG264">
        <v>0</v>
      </c>
      <c r="CM264">
        <v>0</v>
      </c>
      <c r="CN264" t="s">
        <v>1274</v>
      </c>
      <c r="CO264">
        <v>0</v>
      </c>
      <c r="CP264">
        <f t="shared" si="215"/>
        <v>348.48</v>
      </c>
      <c r="CQ264">
        <f t="shared" si="216"/>
        <v>1174.9370999999999</v>
      </c>
      <c r="CR264">
        <f t="shared" si="217"/>
        <v>327.64850000000001</v>
      </c>
      <c r="CS264">
        <f t="shared" si="218"/>
        <v>81.283799999999999</v>
      </c>
      <c r="CT264">
        <f t="shared" si="219"/>
        <v>1982.3193999999999</v>
      </c>
      <c r="CU264">
        <f t="shared" si="220"/>
        <v>0</v>
      </c>
      <c r="CV264">
        <f t="shared" si="221"/>
        <v>34.0032</v>
      </c>
      <c r="CW264">
        <f t="shared" si="222"/>
        <v>1.0649999999999999</v>
      </c>
      <c r="CX264">
        <f t="shared" si="223"/>
        <v>0</v>
      </c>
      <c r="CY264">
        <f t="shared" si="224"/>
        <v>237.31399999999996</v>
      </c>
      <c r="CZ264">
        <f t="shared" si="225"/>
        <v>146.51560000000001</v>
      </c>
      <c r="DC264" t="s">
        <v>3</v>
      </c>
      <c r="DD264" t="s">
        <v>3</v>
      </c>
      <c r="DE264" t="s">
        <v>53</v>
      </c>
      <c r="DF264" t="s">
        <v>53</v>
      </c>
      <c r="DG264" t="s">
        <v>54</v>
      </c>
      <c r="DH264" t="s">
        <v>3</v>
      </c>
      <c r="DI264" t="s">
        <v>54</v>
      </c>
      <c r="DJ264" t="s">
        <v>53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609</v>
      </c>
      <c r="DW264" t="s">
        <v>609</v>
      </c>
      <c r="DX264">
        <v>1</v>
      </c>
      <c r="EE264">
        <v>39174531</v>
      </c>
      <c r="EF264">
        <v>2</v>
      </c>
      <c r="EG264" t="s">
        <v>13</v>
      </c>
      <c r="EH264">
        <v>0</v>
      </c>
      <c r="EI264" t="s">
        <v>3</v>
      </c>
      <c r="EJ264">
        <v>1</v>
      </c>
      <c r="EK264">
        <v>17001</v>
      </c>
      <c r="EL264" t="s">
        <v>568</v>
      </c>
      <c r="EM264" t="s">
        <v>569</v>
      </c>
      <c r="EO264" t="s">
        <v>89</v>
      </c>
      <c r="EQ264">
        <v>0</v>
      </c>
      <c r="ER264">
        <v>461.63</v>
      </c>
      <c r="ES264">
        <v>191.67</v>
      </c>
      <c r="ET264">
        <v>35.630000000000003</v>
      </c>
      <c r="EU264">
        <v>8.84</v>
      </c>
      <c r="EV264">
        <v>234.33</v>
      </c>
      <c r="EW264">
        <v>24.64</v>
      </c>
      <c r="EX264">
        <v>0.71</v>
      </c>
      <c r="EY264">
        <v>0</v>
      </c>
      <c r="FQ264">
        <v>0</v>
      </c>
      <c r="FR264">
        <f t="shared" si="226"/>
        <v>0</v>
      </c>
      <c r="FS264">
        <v>0</v>
      </c>
      <c r="FT264" t="s">
        <v>29</v>
      </c>
      <c r="FU264" t="s">
        <v>30</v>
      </c>
      <c r="FX264">
        <v>115.2</v>
      </c>
      <c r="FY264">
        <v>70.55</v>
      </c>
      <c r="GA264" t="s">
        <v>3</v>
      </c>
      <c r="GD264">
        <v>0</v>
      </c>
      <c r="GF264">
        <v>-230388116</v>
      </c>
      <c r="GG264">
        <v>1</v>
      </c>
      <c r="GH264">
        <v>1</v>
      </c>
      <c r="GI264">
        <v>4</v>
      </c>
      <c r="GJ264">
        <v>0</v>
      </c>
      <c r="GK264">
        <f>ROUND(R264*(R12)/100,2)</f>
        <v>0</v>
      </c>
      <c r="GL264">
        <f t="shared" si="227"/>
        <v>0</v>
      </c>
      <c r="GM264">
        <f t="shared" si="228"/>
        <v>732.31</v>
      </c>
      <c r="GN264">
        <f t="shared" si="229"/>
        <v>732.31</v>
      </c>
      <c r="GO264">
        <f t="shared" si="230"/>
        <v>0</v>
      </c>
      <c r="GP264">
        <f t="shared" si="231"/>
        <v>0</v>
      </c>
      <c r="GR264">
        <v>0</v>
      </c>
      <c r="GS264">
        <v>3</v>
      </c>
      <c r="GT264">
        <v>0</v>
      </c>
      <c r="GU264" t="s">
        <v>3</v>
      </c>
      <c r="GV264">
        <f t="shared" si="232"/>
        <v>0</v>
      </c>
      <c r="GW264">
        <v>1</v>
      </c>
      <c r="GX264">
        <f t="shared" si="233"/>
        <v>0</v>
      </c>
      <c r="HA264">
        <v>0</v>
      </c>
      <c r="HB264">
        <v>0</v>
      </c>
      <c r="IK264">
        <v>0</v>
      </c>
    </row>
    <row r="265" spans="1:245" x14ac:dyDescent="0.2">
      <c r="A265">
        <v>18</v>
      </c>
      <c r="B265">
        <v>1</v>
      </c>
      <c r="C265">
        <v>487</v>
      </c>
      <c r="E265" t="s">
        <v>636</v>
      </c>
      <c r="F265" t="s">
        <v>572</v>
      </c>
      <c r="G265" t="s">
        <v>573</v>
      </c>
      <c r="H265" t="s">
        <v>429</v>
      </c>
      <c r="I265">
        <f>I264*J265</f>
        <v>0.04</v>
      </c>
      <c r="J265">
        <v>0.39999999999999997</v>
      </c>
      <c r="O265">
        <f t="shared" si="200"/>
        <v>7.26</v>
      </c>
      <c r="P265">
        <f t="shared" si="201"/>
        <v>7.26</v>
      </c>
      <c r="Q265">
        <f t="shared" si="202"/>
        <v>0</v>
      </c>
      <c r="R265">
        <f t="shared" si="203"/>
        <v>0</v>
      </c>
      <c r="S265">
        <f t="shared" si="204"/>
        <v>0</v>
      </c>
      <c r="T265">
        <f t="shared" si="205"/>
        <v>0</v>
      </c>
      <c r="U265">
        <f t="shared" si="206"/>
        <v>0</v>
      </c>
      <c r="V265">
        <f t="shared" si="207"/>
        <v>0</v>
      </c>
      <c r="W265">
        <f t="shared" si="208"/>
        <v>0</v>
      </c>
      <c r="X265">
        <f t="shared" si="209"/>
        <v>0</v>
      </c>
      <c r="Y265">
        <f t="shared" si="210"/>
        <v>0</v>
      </c>
      <c r="AA265">
        <v>39476960</v>
      </c>
      <c r="AB265">
        <f t="shared" si="211"/>
        <v>29.6</v>
      </c>
      <c r="AC265">
        <f t="shared" si="212"/>
        <v>29.6</v>
      </c>
      <c r="AD265">
        <f t="shared" ref="AD265:AD270" si="243">ROUND((((ET265)-(EU265))+AE265),2)</f>
        <v>0</v>
      </c>
      <c r="AE265">
        <f t="shared" ref="AE265:AF270" si="244">ROUND((EU265),2)</f>
        <v>0</v>
      </c>
      <c r="AF265">
        <f t="shared" si="244"/>
        <v>0</v>
      </c>
      <c r="AG265">
        <f t="shared" si="213"/>
        <v>0</v>
      </c>
      <c r="AH265">
        <f t="shared" ref="AH265:AI270" si="245">(EW265)</f>
        <v>0</v>
      </c>
      <c r="AI265">
        <f t="shared" si="245"/>
        <v>0</v>
      </c>
      <c r="AJ265">
        <f t="shared" si="214"/>
        <v>0</v>
      </c>
      <c r="AK265">
        <v>29.6</v>
      </c>
      <c r="AL265">
        <v>29.6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115</v>
      </c>
      <c r="AU265">
        <v>71</v>
      </c>
      <c r="AV265">
        <v>1</v>
      </c>
      <c r="AW265">
        <v>1</v>
      </c>
      <c r="AZ265">
        <v>6.13</v>
      </c>
      <c r="BA265">
        <v>1</v>
      </c>
      <c r="BB265">
        <v>1</v>
      </c>
      <c r="BC265">
        <v>6.13</v>
      </c>
      <c r="BD265" t="s">
        <v>3</v>
      </c>
      <c r="BE265" t="s">
        <v>3</v>
      </c>
      <c r="BF265" t="s">
        <v>3</v>
      </c>
      <c r="BG265" t="s">
        <v>3</v>
      </c>
      <c r="BH265">
        <v>3</v>
      </c>
      <c r="BI265">
        <v>1</v>
      </c>
      <c r="BJ265" t="s">
        <v>574</v>
      </c>
      <c r="BM265">
        <v>17001</v>
      </c>
      <c r="BN265">
        <v>0</v>
      </c>
      <c r="BO265" t="s">
        <v>3</v>
      </c>
      <c r="BP265">
        <v>0</v>
      </c>
      <c r="BQ265">
        <v>2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128</v>
      </c>
      <c r="CA265">
        <v>83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15"/>
        <v>7.26</v>
      </c>
      <c r="CQ265">
        <f t="shared" si="216"/>
        <v>181.44800000000001</v>
      </c>
      <c r="CR265">
        <f t="shared" si="217"/>
        <v>0</v>
      </c>
      <c r="CS265">
        <f t="shared" si="218"/>
        <v>0</v>
      </c>
      <c r="CT265">
        <f t="shared" si="219"/>
        <v>0</v>
      </c>
      <c r="CU265">
        <f t="shared" si="220"/>
        <v>0</v>
      </c>
      <c r="CV265">
        <f t="shared" si="221"/>
        <v>0</v>
      </c>
      <c r="CW265">
        <f t="shared" si="222"/>
        <v>0</v>
      </c>
      <c r="CX265">
        <f t="shared" si="223"/>
        <v>0</v>
      </c>
      <c r="CY265">
        <f t="shared" si="224"/>
        <v>0</v>
      </c>
      <c r="CZ265">
        <f t="shared" si="225"/>
        <v>0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1010</v>
      </c>
      <c r="DV265" t="s">
        <v>429</v>
      </c>
      <c r="DW265" t="s">
        <v>429</v>
      </c>
      <c r="DX265">
        <v>100</v>
      </c>
      <c r="EE265">
        <v>39174531</v>
      </c>
      <c r="EF265">
        <v>2</v>
      </c>
      <c r="EG265" t="s">
        <v>13</v>
      </c>
      <c r="EH265">
        <v>0</v>
      </c>
      <c r="EI265" t="s">
        <v>3</v>
      </c>
      <c r="EJ265">
        <v>1</v>
      </c>
      <c r="EK265">
        <v>17001</v>
      </c>
      <c r="EL265" t="s">
        <v>568</v>
      </c>
      <c r="EM265" t="s">
        <v>569</v>
      </c>
      <c r="EO265" t="s">
        <v>3</v>
      </c>
      <c r="EQ265">
        <v>0</v>
      </c>
      <c r="ER265">
        <v>29.6</v>
      </c>
      <c r="ES265">
        <v>29.6</v>
      </c>
      <c r="ET265">
        <v>0</v>
      </c>
      <c r="EU265">
        <v>0</v>
      </c>
      <c r="EV265">
        <v>0</v>
      </c>
      <c r="EW265">
        <v>0</v>
      </c>
      <c r="EX265">
        <v>0</v>
      </c>
      <c r="FQ265">
        <v>0</v>
      </c>
      <c r="FR265">
        <f t="shared" si="226"/>
        <v>0</v>
      </c>
      <c r="FS265">
        <v>0</v>
      </c>
      <c r="FT265" t="s">
        <v>29</v>
      </c>
      <c r="FU265" t="s">
        <v>30</v>
      </c>
      <c r="FX265">
        <v>115.2</v>
      </c>
      <c r="FY265">
        <v>70.55</v>
      </c>
      <c r="GA265" t="s">
        <v>3</v>
      </c>
      <c r="GD265">
        <v>0</v>
      </c>
      <c r="GF265">
        <v>-1390362517</v>
      </c>
      <c r="GG265">
        <v>1</v>
      </c>
      <c r="GH265">
        <v>1</v>
      </c>
      <c r="GI265">
        <v>4</v>
      </c>
      <c r="GJ265">
        <v>0</v>
      </c>
      <c r="GK265">
        <f>ROUND(R265*(R12)/100,2)</f>
        <v>0</v>
      </c>
      <c r="GL265">
        <f t="shared" si="227"/>
        <v>0</v>
      </c>
      <c r="GM265">
        <f t="shared" si="228"/>
        <v>7.26</v>
      </c>
      <c r="GN265">
        <f t="shared" si="229"/>
        <v>7.26</v>
      </c>
      <c r="GO265">
        <f t="shared" si="230"/>
        <v>0</v>
      </c>
      <c r="GP265">
        <f t="shared" si="231"/>
        <v>0</v>
      </c>
      <c r="GR265">
        <v>0</v>
      </c>
      <c r="GS265">
        <v>3</v>
      </c>
      <c r="GT265">
        <v>0</v>
      </c>
      <c r="GU265" t="s">
        <v>3</v>
      </c>
      <c r="GV265">
        <f t="shared" si="232"/>
        <v>0</v>
      </c>
      <c r="GW265">
        <v>1</v>
      </c>
      <c r="GX265">
        <f t="shared" si="233"/>
        <v>0</v>
      </c>
      <c r="HA265">
        <v>0</v>
      </c>
      <c r="HB265">
        <v>0</v>
      </c>
      <c r="IK265">
        <v>0</v>
      </c>
    </row>
    <row r="266" spans="1:245" x14ac:dyDescent="0.2">
      <c r="A266">
        <v>18</v>
      </c>
      <c r="B266">
        <v>1</v>
      </c>
      <c r="C266">
        <v>494</v>
      </c>
      <c r="E266" t="s">
        <v>637</v>
      </c>
      <c r="F266" t="s">
        <v>638</v>
      </c>
      <c r="G266" t="s">
        <v>639</v>
      </c>
      <c r="H266" t="s">
        <v>152</v>
      </c>
      <c r="I266">
        <f>I264*J266</f>
        <v>1</v>
      </c>
      <c r="J266">
        <v>10</v>
      </c>
      <c r="O266">
        <f t="shared" si="200"/>
        <v>1949.34</v>
      </c>
      <c r="P266">
        <f t="shared" si="201"/>
        <v>1949.34</v>
      </c>
      <c r="Q266">
        <f t="shared" si="202"/>
        <v>0</v>
      </c>
      <c r="R266">
        <f t="shared" si="203"/>
        <v>0</v>
      </c>
      <c r="S266">
        <f t="shared" si="204"/>
        <v>0</v>
      </c>
      <c r="T266">
        <f t="shared" si="205"/>
        <v>0</v>
      </c>
      <c r="U266">
        <f t="shared" si="206"/>
        <v>0</v>
      </c>
      <c r="V266">
        <f t="shared" si="207"/>
        <v>0</v>
      </c>
      <c r="W266">
        <f t="shared" si="208"/>
        <v>0</v>
      </c>
      <c r="X266">
        <f t="shared" si="209"/>
        <v>0</v>
      </c>
      <c r="Y266">
        <f t="shared" si="210"/>
        <v>0</v>
      </c>
      <c r="AA266">
        <v>39476960</v>
      </c>
      <c r="AB266">
        <f t="shared" si="211"/>
        <v>318</v>
      </c>
      <c r="AC266">
        <f t="shared" si="212"/>
        <v>318</v>
      </c>
      <c r="AD266">
        <f t="shared" si="243"/>
        <v>0</v>
      </c>
      <c r="AE266">
        <f t="shared" si="244"/>
        <v>0</v>
      </c>
      <c r="AF266">
        <f t="shared" si="244"/>
        <v>0</v>
      </c>
      <c r="AG266">
        <f t="shared" si="213"/>
        <v>0</v>
      </c>
      <c r="AH266">
        <f t="shared" si="245"/>
        <v>0</v>
      </c>
      <c r="AI266">
        <f t="shared" si="245"/>
        <v>0</v>
      </c>
      <c r="AJ266">
        <f t="shared" si="214"/>
        <v>0</v>
      </c>
      <c r="AK266">
        <v>318</v>
      </c>
      <c r="AL266">
        <v>318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115</v>
      </c>
      <c r="AU266">
        <v>71</v>
      </c>
      <c r="AV266">
        <v>1</v>
      </c>
      <c r="AW266">
        <v>1</v>
      </c>
      <c r="AZ266">
        <v>6.13</v>
      </c>
      <c r="BA266">
        <v>1</v>
      </c>
      <c r="BB266">
        <v>1</v>
      </c>
      <c r="BC266">
        <v>6.13</v>
      </c>
      <c r="BD266" t="s">
        <v>3</v>
      </c>
      <c r="BE266" t="s">
        <v>3</v>
      </c>
      <c r="BF266" t="s">
        <v>3</v>
      </c>
      <c r="BG266" t="s">
        <v>3</v>
      </c>
      <c r="BH266">
        <v>3</v>
      </c>
      <c r="BI266">
        <v>1</v>
      </c>
      <c r="BJ266" t="s">
        <v>640</v>
      </c>
      <c r="BM266">
        <v>17001</v>
      </c>
      <c r="BN266">
        <v>0</v>
      </c>
      <c r="BO266" t="s">
        <v>3</v>
      </c>
      <c r="BP266">
        <v>0</v>
      </c>
      <c r="BQ266">
        <v>2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128</v>
      </c>
      <c r="CA266">
        <v>83</v>
      </c>
      <c r="CF266">
        <v>0</v>
      </c>
      <c r="CG266">
        <v>0</v>
      </c>
      <c r="CM266">
        <v>0</v>
      </c>
      <c r="CN266" t="s">
        <v>3</v>
      </c>
      <c r="CO266">
        <v>0</v>
      </c>
      <c r="CP266">
        <f t="shared" si="215"/>
        <v>1949.34</v>
      </c>
      <c r="CQ266">
        <f t="shared" si="216"/>
        <v>1949.34</v>
      </c>
      <c r="CR266">
        <f t="shared" si="217"/>
        <v>0</v>
      </c>
      <c r="CS266">
        <f t="shared" si="218"/>
        <v>0</v>
      </c>
      <c r="CT266">
        <f t="shared" si="219"/>
        <v>0</v>
      </c>
      <c r="CU266">
        <f t="shared" si="220"/>
        <v>0</v>
      </c>
      <c r="CV266">
        <f t="shared" si="221"/>
        <v>0</v>
      </c>
      <c r="CW266">
        <f t="shared" si="222"/>
        <v>0</v>
      </c>
      <c r="CX266">
        <f t="shared" si="223"/>
        <v>0</v>
      </c>
      <c r="CY266">
        <f t="shared" si="224"/>
        <v>0</v>
      </c>
      <c r="CZ266">
        <f t="shared" si="225"/>
        <v>0</v>
      </c>
      <c r="DC266" t="s">
        <v>3</v>
      </c>
      <c r="DD266" t="s">
        <v>3</v>
      </c>
      <c r="DE266" t="s">
        <v>3</v>
      </c>
      <c r="DF266" t="s">
        <v>3</v>
      </c>
      <c r="DG266" t="s">
        <v>3</v>
      </c>
      <c r="DH266" t="s">
        <v>3</v>
      </c>
      <c r="DI266" t="s">
        <v>3</v>
      </c>
      <c r="DJ266" t="s">
        <v>3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1013</v>
      </c>
      <c r="DV266" t="s">
        <v>152</v>
      </c>
      <c r="DW266" t="s">
        <v>152</v>
      </c>
      <c r="DX266">
        <v>1</v>
      </c>
      <c r="EE266">
        <v>39174531</v>
      </c>
      <c r="EF266">
        <v>2</v>
      </c>
      <c r="EG266" t="s">
        <v>13</v>
      </c>
      <c r="EH266">
        <v>0</v>
      </c>
      <c r="EI266" t="s">
        <v>3</v>
      </c>
      <c r="EJ266">
        <v>1</v>
      </c>
      <c r="EK266">
        <v>17001</v>
      </c>
      <c r="EL266" t="s">
        <v>568</v>
      </c>
      <c r="EM266" t="s">
        <v>569</v>
      </c>
      <c r="EO266" t="s">
        <v>3</v>
      </c>
      <c r="EQ266">
        <v>0</v>
      </c>
      <c r="ER266">
        <v>318</v>
      </c>
      <c r="ES266">
        <v>318</v>
      </c>
      <c r="ET266">
        <v>0</v>
      </c>
      <c r="EU266">
        <v>0</v>
      </c>
      <c r="EV266">
        <v>0</v>
      </c>
      <c r="EW266">
        <v>0</v>
      </c>
      <c r="EX266">
        <v>0</v>
      </c>
      <c r="FQ266">
        <v>0</v>
      </c>
      <c r="FR266">
        <f t="shared" si="226"/>
        <v>0</v>
      </c>
      <c r="FS266">
        <v>0</v>
      </c>
      <c r="FT266" t="s">
        <v>29</v>
      </c>
      <c r="FU266" t="s">
        <v>30</v>
      </c>
      <c r="FX266">
        <v>115.2</v>
      </c>
      <c r="FY266">
        <v>70.55</v>
      </c>
      <c r="GA266" t="s">
        <v>3</v>
      </c>
      <c r="GD266">
        <v>0</v>
      </c>
      <c r="GF266">
        <v>-221019608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si="227"/>
        <v>0</v>
      </c>
      <c r="GM266">
        <f t="shared" si="228"/>
        <v>1949.34</v>
      </c>
      <c r="GN266">
        <f t="shared" si="229"/>
        <v>1949.34</v>
      </c>
      <c r="GO266">
        <f t="shared" si="230"/>
        <v>0</v>
      </c>
      <c r="GP266">
        <f t="shared" si="231"/>
        <v>0</v>
      </c>
      <c r="GR266">
        <v>0</v>
      </c>
      <c r="GS266">
        <v>3</v>
      </c>
      <c r="GT266">
        <v>0</v>
      </c>
      <c r="GU266" t="s">
        <v>3</v>
      </c>
      <c r="GV266">
        <f t="shared" si="232"/>
        <v>0</v>
      </c>
      <c r="GW266">
        <v>1</v>
      </c>
      <c r="GX266">
        <f t="shared" si="233"/>
        <v>0</v>
      </c>
      <c r="HA266">
        <v>0</v>
      </c>
      <c r="HB266">
        <v>0</v>
      </c>
      <c r="IK266">
        <v>0</v>
      </c>
    </row>
    <row r="267" spans="1:245" x14ac:dyDescent="0.2">
      <c r="A267">
        <v>18</v>
      </c>
      <c r="B267">
        <v>1</v>
      </c>
      <c r="C267">
        <v>495</v>
      </c>
      <c r="E267" t="s">
        <v>641</v>
      </c>
      <c r="F267" t="s">
        <v>588</v>
      </c>
      <c r="G267" t="s">
        <v>589</v>
      </c>
      <c r="H267" t="s">
        <v>160</v>
      </c>
      <c r="I267">
        <f>I264*J267</f>
        <v>0.1</v>
      </c>
      <c r="J267">
        <v>1</v>
      </c>
      <c r="O267">
        <f t="shared" si="200"/>
        <v>98.2</v>
      </c>
      <c r="P267">
        <f t="shared" si="201"/>
        <v>98.2</v>
      </c>
      <c r="Q267">
        <f t="shared" si="202"/>
        <v>0</v>
      </c>
      <c r="R267">
        <f t="shared" si="203"/>
        <v>0</v>
      </c>
      <c r="S267">
        <f t="shared" si="204"/>
        <v>0</v>
      </c>
      <c r="T267">
        <f t="shared" si="205"/>
        <v>0</v>
      </c>
      <c r="U267">
        <f t="shared" si="206"/>
        <v>0</v>
      </c>
      <c r="V267">
        <f t="shared" si="207"/>
        <v>0</v>
      </c>
      <c r="W267">
        <f t="shared" si="208"/>
        <v>0</v>
      </c>
      <c r="X267">
        <f t="shared" si="209"/>
        <v>0</v>
      </c>
      <c r="Y267">
        <f t="shared" si="210"/>
        <v>0</v>
      </c>
      <c r="AA267">
        <v>39476960</v>
      </c>
      <c r="AB267">
        <f t="shared" si="211"/>
        <v>160.19999999999999</v>
      </c>
      <c r="AC267">
        <f t="shared" si="212"/>
        <v>160.19999999999999</v>
      </c>
      <c r="AD267">
        <f t="shared" si="243"/>
        <v>0</v>
      </c>
      <c r="AE267">
        <f t="shared" si="244"/>
        <v>0</v>
      </c>
      <c r="AF267">
        <f t="shared" si="244"/>
        <v>0</v>
      </c>
      <c r="AG267">
        <f t="shared" si="213"/>
        <v>0</v>
      </c>
      <c r="AH267">
        <f t="shared" si="245"/>
        <v>0</v>
      </c>
      <c r="AI267">
        <f t="shared" si="245"/>
        <v>0</v>
      </c>
      <c r="AJ267">
        <f t="shared" si="214"/>
        <v>0</v>
      </c>
      <c r="AK267">
        <v>160.19999999999999</v>
      </c>
      <c r="AL267">
        <v>160.19999999999999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115</v>
      </c>
      <c r="AU267">
        <v>71</v>
      </c>
      <c r="AV267">
        <v>1</v>
      </c>
      <c r="AW267">
        <v>1</v>
      </c>
      <c r="AZ267">
        <v>6.13</v>
      </c>
      <c r="BA267">
        <v>1</v>
      </c>
      <c r="BB267">
        <v>1</v>
      </c>
      <c r="BC267">
        <v>6.13</v>
      </c>
      <c r="BD267" t="s">
        <v>3</v>
      </c>
      <c r="BE267" t="s">
        <v>3</v>
      </c>
      <c r="BF267" t="s">
        <v>3</v>
      </c>
      <c r="BG267" t="s">
        <v>3</v>
      </c>
      <c r="BH267">
        <v>3</v>
      </c>
      <c r="BI267">
        <v>1</v>
      </c>
      <c r="BJ267" t="s">
        <v>590</v>
      </c>
      <c r="BM267">
        <v>17001</v>
      </c>
      <c r="BN267">
        <v>0</v>
      </c>
      <c r="BO267" t="s">
        <v>3</v>
      </c>
      <c r="BP267">
        <v>0</v>
      </c>
      <c r="BQ267">
        <v>2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128</v>
      </c>
      <c r="CA267">
        <v>83</v>
      </c>
      <c r="CF267">
        <v>0</v>
      </c>
      <c r="CG267">
        <v>0</v>
      </c>
      <c r="CM267">
        <v>0</v>
      </c>
      <c r="CN267" t="s">
        <v>3</v>
      </c>
      <c r="CO267">
        <v>0</v>
      </c>
      <c r="CP267">
        <f t="shared" si="215"/>
        <v>98.2</v>
      </c>
      <c r="CQ267">
        <f t="shared" si="216"/>
        <v>982.02599999999995</v>
      </c>
      <c r="CR267">
        <f t="shared" si="217"/>
        <v>0</v>
      </c>
      <c r="CS267">
        <f t="shared" si="218"/>
        <v>0</v>
      </c>
      <c r="CT267">
        <f t="shared" si="219"/>
        <v>0</v>
      </c>
      <c r="CU267">
        <f t="shared" si="220"/>
        <v>0</v>
      </c>
      <c r="CV267">
        <f t="shared" si="221"/>
        <v>0</v>
      </c>
      <c r="CW267">
        <f t="shared" si="222"/>
        <v>0</v>
      </c>
      <c r="CX267">
        <f t="shared" si="223"/>
        <v>0</v>
      </c>
      <c r="CY267">
        <f t="shared" si="224"/>
        <v>0</v>
      </c>
      <c r="CZ267">
        <f t="shared" si="225"/>
        <v>0</v>
      </c>
      <c r="DC267" t="s">
        <v>3</v>
      </c>
      <c r="DD267" t="s">
        <v>3</v>
      </c>
      <c r="DE267" t="s">
        <v>3</v>
      </c>
      <c r="DF267" t="s">
        <v>3</v>
      </c>
      <c r="DG267" t="s">
        <v>3</v>
      </c>
      <c r="DH267" t="s">
        <v>3</v>
      </c>
      <c r="DI267" t="s">
        <v>3</v>
      </c>
      <c r="DJ267" t="s">
        <v>3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1010</v>
      </c>
      <c r="DV267" t="s">
        <v>160</v>
      </c>
      <c r="DW267" t="s">
        <v>160</v>
      </c>
      <c r="DX267">
        <v>10</v>
      </c>
      <c r="EE267">
        <v>39174531</v>
      </c>
      <c r="EF267">
        <v>2</v>
      </c>
      <c r="EG267" t="s">
        <v>13</v>
      </c>
      <c r="EH267">
        <v>0</v>
      </c>
      <c r="EI267" t="s">
        <v>3</v>
      </c>
      <c r="EJ267">
        <v>1</v>
      </c>
      <c r="EK267">
        <v>17001</v>
      </c>
      <c r="EL267" t="s">
        <v>568</v>
      </c>
      <c r="EM267" t="s">
        <v>569</v>
      </c>
      <c r="EO267" t="s">
        <v>3</v>
      </c>
      <c r="EQ267">
        <v>0</v>
      </c>
      <c r="ER267">
        <v>160.19999999999999</v>
      </c>
      <c r="ES267">
        <v>160.19999999999999</v>
      </c>
      <c r="ET267">
        <v>0</v>
      </c>
      <c r="EU267">
        <v>0</v>
      </c>
      <c r="EV267">
        <v>0</v>
      </c>
      <c r="EW267">
        <v>0</v>
      </c>
      <c r="EX267">
        <v>0</v>
      </c>
      <c r="FQ267">
        <v>0</v>
      </c>
      <c r="FR267">
        <f t="shared" si="226"/>
        <v>0</v>
      </c>
      <c r="FS267">
        <v>0</v>
      </c>
      <c r="FT267" t="s">
        <v>29</v>
      </c>
      <c r="FU267" t="s">
        <v>30</v>
      </c>
      <c r="FX267">
        <v>115.2</v>
      </c>
      <c r="FY267">
        <v>70.55</v>
      </c>
      <c r="GA267" t="s">
        <v>3</v>
      </c>
      <c r="GD267">
        <v>0</v>
      </c>
      <c r="GF267">
        <v>-62785007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227"/>
        <v>0</v>
      </c>
      <c r="GM267">
        <f t="shared" si="228"/>
        <v>98.2</v>
      </c>
      <c r="GN267">
        <f t="shared" si="229"/>
        <v>98.2</v>
      </c>
      <c r="GO267">
        <f t="shared" si="230"/>
        <v>0</v>
      </c>
      <c r="GP267">
        <f t="shared" si="231"/>
        <v>0</v>
      </c>
      <c r="GR267">
        <v>0</v>
      </c>
      <c r="GS267">
        <v>3</v>
      </c>
      <c r="GT267">
        <v>0</v>
      </c>
      <c r="GU267" t="s">
        <v>3</v>
      </c>
      <c r="GV267">
        <f t="shared" si="232"/>
        <v>0</v>
      </c>
      <c r="GW267">
        <v>1</v>
      </c>
      <c r="GX267">
        <f t="shared" si="233"/>
        <v>0</v>
      </c>
      <c r="HA267">
        <v>0</v>
      </c>
      <c r="HB267">
        <v>0</v>
      </c>
      <c r="IK267">
        <v>0</v>
      </c>
    </row>
    <row r="268" spans="1:245" x14ac:dyDescent="0.2">
      <c r="A268">
        <v>18</v>
      </c>
      <c r="B268">
        <v>1</v>
      </c>
      <c r="C268">
        <v>486</v>
      </c>
      <c r="E268" t="s">
        <v>642</v>
      </c>
      <c r="F268" t="s">
        <v>592</v>
      </c>
      <c r="G268" t="s">
        <v>593</v>
      </c>
      <c r="H268" t="s">
        <v>160</v>
      </c>
      <c r="I268">
        <f>I264*J268</f>
        <v>0.4</v>
      </c>
      <c r="J268">
        <v>4</v>
      </c>
      <c r="O268">
        <f t="shared" si="200"/>
        <v>0</v>
      </c>
      <c r="P268">
        <f t="shared" si="201"/>
        <v>0</v>
      </c>
      <c r="Q268">
        <f t="shared" si="202"/>
        <v>0</v>
      </c>
      <c r="R268">
        <f t="shared" si="203"/>
        <v>0</v>
      </c>
      <c r="S268">
        <f t="shared" si="204"/>
        <v>0</v>
      </c>
      <c r="T268">
        <f t="shared" si="205"/>
        <v>0</v>
      </c>
      <c r="U268">
        <f t="shared" si="206"/>
        <v>0</v>
      </c>
      <c r="V268">
        <f t="shared" si="207"/>
        <v>0</v>
      </c>
      <c r="W268">
        <f t="shared" si="208"/>
        <v>0</v>
      </c>
      <c r="X268">
        <f t="shared" si="209"/>
        <v>0</v>
      </c>
      <c r="Y268">
        <f t="shared" si="210"/>
        <v>0</v>
      </c>
      <c r="AA268">
        <v>39476960</v>
      </c>
      <c r="AB268">
        <f t="shared" si="211"/>
        <v>0</v>
      </c>
      <c r="AC268">
        <f t="shared" si="212"/>
        <v>0</v>
      </c>
      <c r="AD268">
        <f t="shared" si="243"/>
        <v>0</v>
      </c>
      <c r="AE268">
        <f t="shared" si="244"/>
        <v>0</v>
      </c>
      <c r="AF268">
        <f t="shared" si="244"/>
        <v>0</v>
      </c>
      <c r="AG268">
        <f t="shared" si="213"/>
        <v>0</v>
      </c>
      <c r="AH268">
        <f t="shared" si="245"/>
        <v>0</v>
      </c>
      <c r="AI268">
        <f t="shared" si="245"/>
        <v>0</v>
      </c>
      <c r="AJ268">
        <f t="shared" si="214"/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115</v>
      </c>
      <c r="AU268">
        <v>71</v>
      </c>
      <c r="AV268">
        <v>1</v>
      </c>
      <c r="AW268">
        <v>1</v>
      </c>
      <c r="AZ268">
        <v>6.13</v>
      </c>
      <c r="BA268">
        <v>1</v>
      </c>
      <c r="BB268">
        <v>1</v>
      </c>
      <c r="BC268">
        <v>6.13</v>
      </c>
      <c r="BD268" t="s">
        <v>3</v>
      </c>
      <c r="BE268" t="s">
        <v>3</v>
      </c>
      <c r="BF268" t="s">
        <v>3</v>
      </c>
      <c r="BG268" t="s">
        <v>3</v>
      </c>
      <c r="BH268">
        <v>3</v>
      </c>
      <c r="BI268">
        <v>1</v>
      </c>
      <c r="BJ268" t="s">
        <v>3</v>
      </c>
      <c r="BM268">
        <v>17001</v>
      </c>
      <c r="BN268">
        <v>0</v>
      </c>
      <c r="BO268" t="s">
        <v>3</v>
      </c>
      <c r="BP268">
        <v>0</v>
      </c>
      <c r="BQ268">
        <v>2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128</v>
      </c>
      <c r="CA268">
        <v>83</v>
      </c>
      <c r="CF268">
        <v>0</v>
      </c>
      <c r="CG268">
        <v>0</v>
      </c>
      <c r="CM268">
        <v>0</v>
      </c>
      <c r="CN268" t="s">
        <v>3</v>
      </c>
      <c r="CO268">
        <v>0</v>
      </c>
      <c r="CP268">
        <f t="shared" si="215"/>
        <v>0</v>
      </c>
      <c r="CQ268">
        <f t="shared" si="216"/>
        <v>0</v>
      </c>
      <c r="CR268">
        <f t="shared" si="217"/>
        <v>0</v>
      </c>
      <c r="CS268">
        <f t="shared" si="218"/>
        <v>0</v>
      </c>
      <c r="CT268">
        <f t="shared" si="219"/>
        <v>0</v>
      </c>
      <c r="CU268">
        <f t="shared" si="220"/>
        <v>0</v>
      </c>
      <c r="CV268">
        <f t="shared" si="221"/>
        <v>0</v>
      </c>
      <c r="CW268">
        <f t="shared" si="222"/>
        <v>0</v>
      </c>
      <c r="CX268">
        <f t="shared" si="223"/>
        <v>0</v>
      </c>
      <c r="CY268">
        <f t="shared" si="224"/>
        <v>0</v>
      </c>
      <c r="CZ268">
        <f t="shared" si="225"/>
        <v>0</v>
      </c>
      <c r="DC268" t="s">
        <v>3</v>
      </c>
      <c r="DD268" t="s">
        <v>3</v>
      </c>
      <c r="DE268" t="s">
        <v>3</v>
      </c>
      <c r="DF268" t="s">
        <v>3</v>
      </c>
      <c r="DG268" t="s">
        <v>3</v>
      </c>
      <c r="DH268" t="s">
        <v>3</v>
      </c>
      <c r="DI268" t="s">
        <v>3</v>
      </c>
      <c r="DJ268" t="s">
        <v>3</v>
      </c>
      <c r="DK268" t="s">
        <v>3</v>
      </c>
      <c r="DL268" t="s">
        <v>3</v>
      </c>
      <c r="DM268" t="s">
        <v>3</v>
      </c>
      <c r="DN268">
        <v>0</v>
      </c>
      <c r="DO268">
        <v>0</v>
      </c>
      <c r="DP268">
        <v>1</v>
      </c>
      <c r="DQ268">
        <v>1</v>
      </c>
      <c r="DU268">
        <v>1010</v>
      </c>
      <c r="DV268" t="s">
        <v>160</v>
      </c>
      <c r="DW268" t="s">
        <v>160</v>
      </c>
      <c r="DX268">
        <v>10</v>
      </c>
      <c r="EE268">
        <v>39174531</v>
      </c>
      <c r="EF268">
        <v>2</v>
      </c>
      <c r="EG268" t="s">
        <v>13</v>
      </c>
      <c r="EH268">
        <v>0</v>
      </c>
      <c r="EI268" t="s">
        <v>3</v>
      </c>
      <c r="EJ268">
        <v>1</v>
      </c>
      <c r="EK268">
        <v>17001</v>
      </c>
      <c r="EL268" t="s">
        <v>568</v>
      </c>
      <c r="EM268" t="s">
        <v>569</v>
      </c>
      <c r="EO268" t="s">
        <v>3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26"/>
        <v>0</v>
      </c>
      <c r="FS268">
        <v>0</v>
      </c>
      <c r="FT268" t="s">
        <v>29</v>
      </c>
      <c r="FU268" t="s">
        <v>30</v>
      </c>
      <c r="FX268">
        <v>115.2</v>
      </c>
      <c r="FY268">
        <v>70.55</v>
      </c>
      <c r="GA268" t="s">
        <v>3</v>
      </c>
      <c r="GD268">
        <v>0</v>
      </c>
      <c r="GF268">
        <v>488433216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227"/>
        <v>0</v>
      </c>
      <c r="GM268">
        <f t="shared" si="228"/>
        <v>0</v>
      </c>
      <c r="GN268">
        <f t="shared" si="229"/>
        <v>0</v>
      </c>
      <c r="GO268">
        <f t="shared" si="230"/>
        <v>0</v>
      </c>
      <c r="GP268">
        <f t="shared" si="231"/>
        <v>0</v>
      </c>
      <c r="GR268">
        <v>0</v>
      </c>
      <c r="GS268">
        <v>3</v>
      </c>
      <c r="GT268">
        <v>0</v>
      </c>
      <c r="GU268" t="s">
        <v>3</v>
      </c>
      <c r="GV268">
        <f t="shared" si="232"/>
        <v>0</v>
      </c>
      <c r="GW268">
        <v>1</v>
      </c>
      <c r="GX268">
        <f t="shared" si="233"/>
        <v>0</v>
      </c>
      <c r="HA268">
        <v>0</v>
      </c>
      <c r="HB268">
        <v>0</v>
      </c>
      <c r="IK268">
        <v>0</v>
      </c>
    </row>
    <row r="269" spans="1:245" x14ac:dyDescent="0.2">
      <c r="A269">
        <v>18</v>
      </c>
      <c r="B269">
        <v>1</v>
      </c>
      <c r="C269">
        <v>489</v>
      </c>
      <c r="E269" t="s">
        <v>643</v>
      </c>
      <c r="F269" t="s">
        <v>618</v>
      </c>
      <c r="G269" t="s">
        <v>619</v>
      </c>
      <c r="H269" t="s">
        <v>34</v>
      </c>
      <c r="I269">
        <f>I264*J269</f>
        <v>5.0000000000000002E-5</v>
      </c>
      <c r="J269">
        <v>5.0000000000000001E-4</v>
      </c>
      <c r="O269">
        <f t="shared" si="200"/>
        <v>0</v>
      </c>
      <c r="P269">
        <f t="shared" si="201"/>
        <v>0</v>
      </c>
      <c r="Q269">
        <f t="shared" si="202"/>
        <v>0</v>
      </c>
      <c r="R269">
        <f t="shared" si="203"/>
        <v>0</v>
      </c>
      <c r="S269">
        <f t="shared" si="204"/>
        <v>0</v>
      </c>
      <c r="T269">
        <f t="shared" si="205"/>
        <v>0</v>
      </c>
      <c r="U269">
        <f t="shared" si="206"/>
        <v>0</v>
      </c>
      <c r="V269">
        <f t="shared" si="207"/>
        <v>0</v>
      </c>
      <c r="W269">
        <f t="shared" si="208"/>
        <v>0</v>
      </c>
      <c r="X269">
        <f t="shared" si="209"/>
        <v>0</v>
      </c>
      <c r="Y269">
        <f t="shared" si="210"/>
        <v>0</v>
      </c>
      <c r="AA269">
        <v>39476960</v>
      </c>
      <c r="AB269">
        <f t="shared" si="211"/>
        <v>0</v>
      </c>
      <c r="AC269">
        <f t="shared" si="212"/>
        <v>0</v>
      </c>
      <c r="AD269">
        <f t="shared" si="243"/>
        <v>0</v>
      </c>
      <c r="AE269">
        <f t="shared" si="244"/>
        <v>0</v>
      </c>
      <c r="AF269">
        <f t="shared" si="244"/>
        <v>0</v>
      </c>
      <c r="AG269">
        <f t="shared" si="213"/>
        <v>0</v>
      </c>
      <c r="AH269">
        <f t="shared" si="245"/>
        <v>0</v>
      </c>
      <c r="AI269">
        <f t="shared" si="245"/>
        <v>0</v>
      </c>
      <c r="AJ269">
        <f t="shared" si="214"/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115</v>
      </c>
      <c r="AU269">
        <v>71</v>
      </c>
      <c r="AV269">
        <v>1</v>
      </c>
      <c r="AW269">
        <v>1</v>
      </c>
      <c r="AZ269">
        <v>6.13</v>
      </c>
      <c r="BA269">
        <v>1</v>
      </c>
      <c r="BB269">
        <v>1</v>
      </c>
      <c r="BC269">
        <v>6.13</v>
      </c>
      <c r="BD269" t="s">
        <v>3</v>
      </c>
      <c r="BE269" t="s">
        <v>3</v>
      </c>
      <c r="BF269" t="s">
        <v>3</v>
      </c>
      <c r="BG269" t="s">
        <v>3</v>
      </c>
      <c r="BH269">
        <v>3</v>
      </c>
      <c r="BI269">
        <v>1</v>
      </c>
      <c r="BJ269" t="s">
        <v>3</v>
      </c>
      <c r="BM269">
        <v>17001</v>
      </c>
      <c r="BN269">
        <v>0</v>
      </c>
      <c r="BO269" t="s">
        <v>3</v>
      </c>
      <c r="BP269">
        <v>0</v>
      </c>
      <c r="BQ269">
        <v>2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128</v>
      </c>
      <c r="CA269">
        <v>83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 t="shared" si="215"/>
        <v>0</v>
      </c>
      <c r="CQ269">
        <f t="shared" si="216"/>
        <v>0</v>
      </c>
      <c r="CR269">
        <f t="shared" si="217"/>
        <v>0</v>
      </c>
      <c r="CS269">
        <f t="shared" si="218"/>
        <v>0</v>
      </c>
      <c r="CT269">
        <f t="shared" si="219"/>
        <v>0</v>
      </c>
      <c r="CU269">
        <f t="shared" si="220"/>
        <v>0</v>
      </c>
      <c r="CV269">
        <f t="shared" si="221"/>
        <v>0</v>
      </c>
      <c r="CW269">
        <f t="shared" si="222"/>
        <v>0</v>
      </c>
      <c r="CX269">
        <f t="shared" si="223"/>
        <v>0</v>
      </c>
      <c r="CY269">
        <f t="shared" si="224"/>
        <v>0</v>
      </c>
      <c r="CZ269">
        <f t="shared" si="225"/>
        <v>0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1009</v>
      </c>
      <c r="DV269" t="s">
        <v>34</v>
      </c>
      <c r="DW269" t="s">
        <v>34</v>
      </c>
      <c r="DX269">
        <v>1000</v>
      </c>
      <c r="EE269">
        <v>39174531</v>
      </c>
      <c r="EF269">
        <v>2</v>
      </c>
      <c r="EG269" t="s">
        <v>13</v>
      </c>
      <c r="EH269">
        <v>0</v>
      </c>
      <c r="EI269" t="s">
        <v>3</v>
      </c>
      <c r="EJ269">
        <v>1</v>
      </c>
      <c r="EK269">
        <v>17001</v>
      </c>
      <c r="EL269" t="s">
        <v>568</v>
      </c>
      <c r="EM269" t="s">
        <v>569</v>
      </c>
      <c r="EO269" t="s">
        <v>3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FQ269">
        <v>0</v>
      </c>
      <c r="FR269">
        <f t="shared" si="226"/>
        <v>0</v>
      </c>
      <c r="FS269">
        <v>0</v>
      </c>
      <c r="FT269" t="s">
        <v>29</v>
      </c>
      <c r="FU269" t="s">
        <v>30</v>
      </c>
      <c r="FX269">
        <v>115.2</v>
      </c>
      <c r="FY269">
        <v>70.55</v>
      </c>
      <c r="GA269" t="s">
        <v>3</v>
      </c>
      <c r="GD269">
        <v>0</v>
      </c>
      <c r="GF269">
        <v>-16342244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227"/>
        <v>0</v>
      </c>
      <c r="GM269">
        <f t="shared" si="228"/>
        <v>0</v>
      </c>
      <c r="GN269">
        <f t="shared" si="229"/>
        <v>0</v>
      </c>
      <c r="GO269">
        <f t="shared" si="230"/>
        <v>0</v>
      </c>
      <c r="GP269">
        <f t="shared" si="231"/>
        <v>0</v>
      </c>
      <c r="GR269">
        <v>0</v>
      </c>
      <c r="GS269">
        <v>3</v>
      </c>
      <c r="GT269">
        <v>0</v>
      </c>
      <c r="GU269" t="s">
        <v>3</v>
      </c>
      <c r="GV269">
        <f t="shared" si="232"/>
        <v>0</v>
      </c>
      <c r="GW269">
        <v>1</v>
      </c>
      <c r="GX269">
        <f t="shared" si="233"/>
        <v>0</v>
      </c>
      <c r="HA269">
        <v>0</v>
      </c>
      <c r="HB269">
        <v>0</v>
      </c>
      <c r="IK269">
        <v>0</v>
      </c>
    </row>
    <row r="270" spans="1:245" x14ac:dyDescent="0.2">
      <c r="A270">
        <v>18</v>
      </c>
      <c r="B270">
        <v>1</v>
      </c>
      <c r="C270">
        <v>496</v>
      </c>
      <c r="E270" t="s">
        <v>644</v>
      </c>
      <c r="F270" t="s">
        <v>621</v>
      </c>
      <c r="G270" t="s">
        <v>622</v>
      </c>
      <c r="H270" t="s">
        <v>152</v>
      </c>
      <c r="I270">
        <f>I264*J270</f>
        <v>1</v>
      </c>
      <c r="J270">
        <v>10</v>
      </c>
      <c r="O270">
        <f t="shared" si="200"/>
        <v>0</v>
      </c>
      <c r="P270">
        <f t="shared" si="201"/>
        <v>0</v>
      </c>
      <c r="Q270">
        <f t="shared" si="202"/>
        <v>0</v>
      </c>
      <c r="R270">
        <f t="shared" si="203"/>
        <v>0</v>
      </c>
      <c r="S270">
        <f t="shared" si="204"/>
        <v>0</v>
      </c>
      <c r="T270">
        <f t="shared" si="205"/>
        <v>0</v>
      </c>
      <c r="U270">
        <f t="shared" si="206"/>
        <v>0</v>
      </c>
      <c r="V270">
        <f t="shared" si="207"/>
        <v>0</v>
      </c>
      <c r="W270">
        <f t="shared" si="208"/>
        <v>0</v>
      </c>
      <c r="X270">
        <f t="shared" si="209"/>
        <v>0</v>
      </c>
      <c r="Y270">
        <f t="shared" si="210"/>
        <v>0</v>
      </c>
      <c r="AA270">
        <v>39476960</v>
      </c>
      <c r="AB270">
        <f t="shared" si="211"/>
        <v>0</v>
      </c>
      <c r="AC270">
        <f t="shared" si="212"/>
        <v>0</v>
      </c>
      <c r="AD270">
        <f t="shared" si="243"/>
        <v>0</v>
      </c>
      <c r="AE270">
        <f t="shared" si="244"/>
        <v>0</v>
      </c>
      <c r="AF270">
        <f t="shared" si="244"/>
        <v>0</v>
      </c>
      <c r="AG270">
        <f t="shared" si="213"/>
        <v>0</v>
      </c>
      <c r="AH270">
        <f t="shared" si="245"/>
        <v>0</v>
      </c>
      <c r="AI270">
        <f t="shared" si="245"/>
        <v>0</v>
      </c>
      <c r="AJ270">
        <f t="shared" si="214"/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115</v>
      </c>
      <c r="AU270">
        <v>71</v>
      </c>
      <c r="AV270">
        <v>1</v>
      </c>
      <c r="AW270">
        <v>1</v>
      </c>
      <c r="AZ270">
        <v>6.13</v>
      </c>
      <c r="BA270">
        <v>1</v>
      </c>
      <c r="BB270">
        <v>1</v>
      </c>
      <c r="BC270">
        <v>6.13</v>
      </c>
      <c r="BD270" t="s">
        <v>3</v>
      </c>
      <c r="BE270" t="s">
        <v>3</v>
      </c>
      <c r="BF270" t="s">
        <v>3</v>
      </c>
      <c r="BG270" t="s">
        <v>3</v>
      </c>
      <c r="BH270">
        <v>3</v>
      </c>
      <c r="BI270">
        <v>1</v>
      </c>
      <c r="BJ270" t="s">
        <v>3</v>
      </c>
      <c r="BM270">
        <v>17001</v>
      </c>
      <c r="BN270">
        <v>0</v>
      </c>
      <c r="BO270" t="s">
        <v>3</v>
      </c>
      <c r="BP270">
        <v>0</v>
      </c>
      <c r="BQ270">
        <v>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128</v>
      </c>
      <c r="CA270">
        <v>83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15"/>
        <v>0</v>
      </c>
      <c r="CQ270">
        <f t="shared" si="216"/>
        <v>0</v>
      </c>
      <c r="CR270">
        <f t="shared" si="217"/>
        <v>0</v>
      </c>
      <c r="CS270">
        <f t="shared" si="218"/>
        <v>0</v>
      </c>
      <c r="CT270">
        <f t="shared" si="219"/>
        <v>0</v>
      </c>
      <c r="CU270">
        <f t="shared" si="220"/>
        <v>0</v>
      </c>
      <c r="CV270">
        <f t="shared" si="221"/>
        <v>0</v>
      </c>
      <c r="CW270">
        <f t="shared" si="222"/>
        <v>0</v>
      </c>
      <c r="CX270">
        <f t="shared" si="223"/>
        <v>0</v>
      </c>
      <c r="CY270">
        <f t="shared" si="224"/>
        <v>0</v>
      </c>
      <c r="CZ270">
        <f t="shared" si="225"/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1013</v>
      </c>
      <c r="DV270" t="s">
        <v>152</v>
      </c>
      <c r="DW270" t="s">
        <v>152</v>
      </c>
      <c r="DX270">
        <v>1</v>
      </c>
      <c r="EE270">
        <v>39174531</v>
      </c>
      <c r="EF270">
        <v>2</v>
      </c>
      <c r="EG270" t="s">
        <v>13</v>
      </c>
      <c r="EH270">
        <v>0</v>
      </c>
      <c r="EI270" t="s">
        <v>3</v>
      </c>
      <c r="EJ270">
        <v>1</v>
      </c>
      <c r="EK270">
        <v>17001</v>
      </c>
      <c r="EL270" t="s">
        <v>568</v>
      </c>
      <c r="EM270" t="s">
        <v>569</v>
      </c>
      <c r="EO270" t="s">
        <v>3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226"/>
        <v>0</v>
      </c>
      <c r="FS270">
        <v>0</v>
      </c>
      <c r="FT270" t="s">
        <v>29</v>
      </c>
      <c r="FU270" t="s">
        <v>30</v>
      </c>
      <c r="FX270">
        <v>115.2</v>
      </c>
      <c r="FY270">
        <v>70.55</v>
      </c>
      <c r="GA270" t="s">
        <v>3</v>
      </c>
      <c r="GD270">
        <v>0</v>
      </c>
      <c r="GF270">
        <v>195171381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227"/>
        <v>0</v>
      </c>
      <c r="GM270">
        <f t="shared" si="228"/>
        <v>0</v>
      </c>
      <c r="GN270">
        <f t="shared" si="229"/>
        <v>0</v>
      </c>
      <c r="GO270">
        <f t="shared" si="230"/>
        <v>0</v>
      </c>
      <c r="GP270">
        <f t="shared" si="231"/>
        <v>0</v>
      </c>
      <c r="GR270">
        <v>0</v>
      </c>
      <c r="GS270">
        <v>3</v>
      </c>
      <c r="GT270">
        <v>0</v>
      </c>
      <c r="GU270" t="s">
        <v>3</v>
      </c>
      <c r="GV270">
        <f t="shared" si="232"/>
        <v>0</v>
      </c>
      <c r="GW270">
        <v>1</v>
      </c>
      <c r="GX270">
        <f t="shared" si="233"/>
        <v>0</v>
      </c>
      <c r="HA270">
        <v>0</v>
      </c>
      <c r="HB270">
        <v>0</v>
      </c>
      <c r="IK270">
        <v>0</v>
      </c>
    </row>
    <row r="272" spans="1:245" x14ac:dyDescent="0.2">
      <c r="A272" s="2">
        <v>51</v>
      </c>
      <c r="B272" s="2">
        <f>B228</f>
        <v>1</v>
      </c>
      <c r="C272" s="2">
        <f>A228</f>
        <v>4</v>
      </c>
      <c r="D272" s="2">
        <f>ROW(A228)</f>
        <v>228</v>
      </c>
      <c r="E272" s="2"/>
      <c r="F272" s="2" t="str">
        <f>IF(F228&lt;&gt;"",F228,"")</f>
        <v>Новый раздел</v>
      </c>
      <c r="G272" s="2" t="str">
        <f>IF(G228&lt;&gt;"",G228,"")</f>
        <v>Система водоснабжения и канализации</v>
      </c>
      <c r="H272" s="2">
        <v>0</v>
      </c>
      <c r="I272" s="2"/>
      <c r="J272" s="2"/>
      <c r="K272" s="2"/>
      <c r="L272" s="2"/>
      <c r="M272" s="2"/>
      <c r="N272" s="2"/>
      <c r="O272" s="2">
        <f t="shared" ref="O272:T272" si="246">ROUND(AB272,2)</f>
        <v>181415.61</v>
      </c>
      <c r="P272" s="2">
        <f t="shared" si="246"/>
        <v>138984.65</v>
      </c>
      <c r="Q272" s="2">
        <f t="shared" si="246"/>
        <v>17712.509999999998</v>
      </c>
      <c r="R272" s="2">
        <f t="shared" si="246"/>
        <v>2395.5700000000002</v>
      </c>
      <c r="S272" s="2">
        <f t="shared" si="246"/>
        <v>24718.45</v>
      </c>
      <c r="T272" s="2">
        <f t="shared" si="246"/>
        <v>0</v>
      </c>
      <c r="U272" s="2">
        <f>AH272</f>
        <v>407.39287999999993</v>
      </c>
      <c r="V272" s="2">
        <f>AI272</f>
        <v>29.046299999999999</v>
      </c>
      <c r="W272" s="2">
        <f>ROUND(AJ272,2)</f>
        <v>0</v>
      </c>
      <c r="X272" s="2">
        <f>ROUND(AK272,2)</f>
        <v>31082.58</v>
      </c>
      <c r="Y272" s="2">
        <f>ROUND(AL272,2)</f>
        <v>19217.38</v>
      </c>
      <c r="Z272" s="2"/>
      <c r="AA272" s="2"/>
      <c r="AB272" s="2">
        <f>ROUND(SUMIF(AA232:AA270,"=39476960",O232:O270),2)</f>
        <v>181415.61</v>
      </c>
      <c r="AC272" s="2">
        <f>ROUND(SUMIF(AA232:AA270,"=39476960",P232:P270),2)</f>
        <v>138984.65</v>
      </c>
      <c r="AD272" s="2">
        <f>ROUND(SUMIF(AA232:AA270,"=39476960",Q232:Q270),2)</f>
        <v>17712.509999999998</v>
      </c>
      <c r="AE272" s="2">
        <f>ROUND(SUMIF(AA232:AA270,"=39476960",R232:R270),2)</f>
        <v>2395.5700000000002</v>
      </c>
      <c r="AF272" s="2">
        <f>ROUND(SUMIF(AA232:AA270,"=39476960",S232:S270),2)</f>
        <v>24718.45</v>
      </c>
      <c r="AG272" s="2">
        <f>ROUND(SUMIF(AA232:AA270,"=39476960",T232:T270),2)</f>
        <v>0</v>
      </c>
      <c r="AH272" s="2">
        <f>SUMIF(AA232:AA270,"=39476960",U232:U270)</f>
        <v>407.39287999999993</v>
      </c>
      <c r="AI272" s="2">
        <f>SUMIF(AA232:AA270,"=39476960",V232:V270)</f>
        <v>29.046299999999999</v>
      </c>
      <c r="AJ272" s="2">
        <f>ROUND(SUMIF(AA232:AA270,"=39476960",W232:W270),2)</f>
        <v>0</v>
      </c>
      <c r="AK272" s="2">
        <f>ROUND(SUMIF(AA232:AA270,"=39476960",X232:X270),2)</f>
        <v>31082.58</v>
      </c>
      <c r="AL272" s="2">
        <f>ROUND(SUMIF(AA232:AA270,"=39476960",Y232:Y270),2)</f>
        <v>19217.38</v>
      </c>
      <c r="AM272" s="2"/>
      <c r="AN272" s="2"/>
      <c r="AO272" s="2">
        <f t="shared" ref="AO272:BC272" si="247">ROUND(BX272,2)</f>
        <v>0</v>
      </c>
      <c r="AP272" s="2">
        <f t="shared" si="247"/>
        <v>0</v>
      </c>
      <c r="AQ272" s="2">
        <f t="shared" si="247"/>
        <v>0</v>
      </c>
      <c r="AR272" s="2">
        <f t="shared" si="247"/>
        <v>231715.57</v>
      </c>
      <c r="AS272" s="2">
        <f t="shared" si="247"/>
        <v>121245.39</v>
      </c>
      <c r="AT272" s="2">
        <f t="shared" si="247"/>
        <v>110470.18</v>
      </c>
      <c r="AU272" s="2">
        <f t="shared" si="247"/>
        <v>0</v>
      </c>
      <c r="AV272" s="2">
        <f t="shared" si="247"/>
        <v>138984.65</v>
      </c>
      <c r="AW272" s="2">
        <f t="shared" si="247"/>
        <v>138984.65</v>
      </c>
      <c r="AX272" s="2">
        <f t="shared" si="247"/>
        <v>0</v>
      </c>
      <c r="AY272" s="2">
        <f t="shared" si="247"/>
        <v>138984.65</v>
      </c>
      <c r="AZ272" s="2">
        <f t="shared" si="247"/>
        <v>0</v>
      </c>
      <c r="BA272" s="2">
        <f t="shared" si="247"/>
        <v>0</v>
      </c>
      <c r="BB272" s="2">
        <f t="shared" si="247"/>
        <v>0</v>
      </c>
      <c r="BC272" s="2">
        <f t="shared" si="247"/>
        <v>0</v>
      </c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>
        <f>ROUND(SUMIF(AA232:AA270,"=39476960",FQ232:FQ270),2)</f>
        <v>0</v>
      </c>
      <c r="BY272" s="2">
        <f>ROUND(SUMIF(AA232:AA270,"=39476960",FR232:FR270),2)</f>
        <v>0</v>
      </c>
      <c r="BZ272" s="2">
        <f>ROUND(SUMIF(AA232:AA270,"=39476960",GL232:GL270),2)</f>
        <v>0</v>
      </c>
      <c r="CA272" s="2">
        <f>ROUND(SUMIF(AA232:AA270,"=39476960",GM232:GM270),2)</f>
        <v>231715.57</v>
      </c>
      <c r="CB272" s="2">
        <f>ROUND(SUMIF(AA232:AA270,"=39476960",GN232:GN270),2)</f>
        <v>121245.39</v>
      </c>
      <c r="CC272" s="2">
        <f>ROUND(SUMIF(AA232:AA270,"=39476960",GO232:GO270),2)</f>
        <v>110470.18</v>
      </c>
      <c r="CD272" s="2">
        <f>ROUND(SUMIF(AA232:AA270,"=39476960",GP232:GP270),2)</f>
        <v>0</v>
      </c>
      <c r="CE272" s="2">
        <f>AC272-BX272</f>
        <v>138984.65</v>
      </c>
      <c r="CF272" s="2">
        <f>AC272-BY272</f>
        <v>138984.65</v>
      </c>
      <c r="CG272" s="2">
        <f>BX272-BZ272</f>
        <v>0</v>
      </c>
      <c r="CH272" s="2">
        <f>AC272-BX272-BY272+BZ272</f>
        <v>138984.65</v>
      </c>
      <c r="CI272" s="2">
        <f>BY272-BZ272</f>
        <v>0</v>
      </c>
      <c r="CJ272" s="2">
        <f>ROUND(SUMIF(AA232:AA270,"=39476960",GX232:GX270),2)</f>
        <v>0</v>
      </c>
      <c r="CK272" s="2">
        <f>ROUND(SUMIF(AA232:AA270,"=39476960",GY232:GY270),2)</f>
        <v>0</v>
      </c>
      <c r="CL272" s="2">
        <f>ROUND(SUMIF(AA232:AA270,"=39476960",GZ232:GZ270),2)</f>
        <v>0</v>
      </c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>
        <v>0</v>
      </c>
    </row>
    <row r="274" spans="1:23" x14ac:dyDescent="0.2">
      <c r="A274" s="4">
        <v>50</v>
      </c>
      <c r="B274" s="4">
        <v>0</v>
      </c>
      <c r="C274" s="4">
        <v>0</v>
      </c>
      <c r="D274" s="4">
        <v>1</v>
      </c>
      <c r="E274" s="4">
        <v>201</v>
      </c>
      <c r="F274" s="4">
        <f>ROUND(Source!O272,O274)</f>
        <v>181415.61</v>
      </c>
      <c r="G274" s="4" t="s">
        <v>313</v>
      </c>
      <c r="H274" s="4" t="s">
        <v>314</v>
      </c>
      <c r="I274" s="4"/>
      <c r="J274" s="4"/>
      <c r="K274" s="4">
        <v>201</v>
      </c>
      <c r="L274" s="4">
        <v>1</v>
      </c>
      <c r="M274" s="4">
        <v>3</v>
      </c>
      <c r="N274" s="4" t="s">
        <v>3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5" spans="1:23" x14ac:dyDescent="0.2">
      <c r="A275" s="4">
        <v>50</v>
      </c>
      <c r="B275" s="4">
        <v>0</v>
      </c>
      <c r="C275" s="4">
        <v>0</v>
      </c>
      <c r="D275" s="4">
        <v>1</v>
      </c>
      <c r="E275" s="4">
        <v>202</v>
      </c>
      <c r="F275" s="4">
        <f>ROUND(Source!P272,O275)</f>
        <v>138984.65</v>
      </c>
      <c r="G275" s="4" t="s">
        <v>315</v>
      </c>
      <c r="H275" s="4" t="s">
        <v>316</v>
      </c>
      <c r="I275" s="4"/>
      <c r="J275" s="4"/>
      <c r="K275" s="4">
        <v>202</v>
      </c>
      <c r="L275" s="4">
        <v>2</v>
      </c>
      <c r="M275" s="4">
        <v>3</v>
      </c>
      <c r="N275" s="4" t="s">
        <v>3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23" x14ac:dyDescent="0.2">
      <c r="A276" s="4">
        <v>50</v>
      </c>
      <c r="B276" s="4">
        <v>0</v>
      </c>
      <c r="C276" s="4">
        <v>0</v>
      </c>
      <c r="D276" s="4">
        <v>1</v>
      </c>
      <c r="E276" s="4">
        <v>222</v>
      </c>
      <c r="F276" s="4">
        <f>ROUND(Source!AO272,O276)</f>
        <v>0</v>
      </c>
      <c r="G276" s="4" t="s">
        <v>317</v>
      </c>
      <c r="H276" s="4" t="s">
        <v>318</v>
      </c>
      <c r="I276" s="4"/>
      <c r="J276" s="4"/>
      <c r="K276" s="4">
        <v>222</v>
      </c>
      <c r="L276" s="4">
        <v>3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3" x14ac:dyDescent="0.2">
      <c r="A277" s="4">
        <v>50</v>
      </c>
      <c r="B277" s="4">
        <v>0</v>
      </c>
      <c r="C277" s="4">
        <v>0</v>
      </c>
      <c r="D277" s="4">
        <v>1</v>
      </c>
      <c r="E277" s="4">
        <v>225</v>
      </c>
      <c r="F277" s="4">
        <f>ROUND(Source!AV272,O277)</f>
        <v>138984.65</v>
      </c>
      <c r="G277" s="4" t="s">
        <v>319</v>
      </c>
      <c r="H277" s="4" t="s">
        <v>320</v>
      </c>
      <c r="I277" s="4"/>
      <c r="J277" s="4"/>
      <c r="K277" s="4">
        <v>225</v>
      </c>
      <c r="L277" s="4">
        <v>4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3" x14ac:dyDescent="0.2">
      <c r="A278" s="4">
        <v>50</v>
      </c>
      <c r="B278" s="4">
        <v>0</v>
      </c>
      <c r="C278" s="4">
        <v>0</v>
      </c>
      <c r="D278" s="4">
        <v>1</v>
      </c>
      <c r="E278" s="4">
        <v>226</v>
      </c>
      <c r="F278" s="4">
        <f>ROUND(Source!AW272,O278)</f>
        <v>138984.65</v>
      </c>
      <c r="G278" s="4" t="s">
        <v>321</v>
      </c>
      <c r="H278" s="4" t="s">
        <v>322</v>
      </c>
      <c r="I278" s="4"/>
      <c r="J278" s="4"/>
      <c r="K278" s="4">
        <v>226</v>
      </c>
      <c r="L278" s="4">
        <v>5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3" x14ac:dyDescent="0.2">
      <c r="A279" s="4">
        <v>50</v>
      </c>
      <c r="B279" s="4">
        <v>0</v>
      </c>
      <c r="C279" s="4">
        <v>0</v>
      </c>
      <c r="D279" s="4">
        <v>1</v>
      </c>
      <c r="E279" s="4">
        <v>227</v>
      </c>
      <c r="F279" s="4">
        <f>ROUND(Source!AX272,O279)</f>
        <v>0</v>
      </c>
      <c r="G279" s="4" t="s">
        <v>323</v>
      </c>
      <c r="H279" s="4" t="s">
        <v>324</v>
      </c>
      <c r="I279" s="4"/>
      <c r="J279" s="4"/>
      <c r="K279" s="4">
        <v>227</v>
      </c>
      <c r="L279" s="4">
        <v>6</v>
      </c>
      <c r="M279" s="4">
        <v>3</v>
      </c>
      <c r="N279" s="4" t="s">
        <v>3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23" x14ac:dyDescent="0.2">
      <c r="A280" s="4">
        <v>50</v>
      </c>
      <c r="B280" s="4">
        <v>0</v>
      </c>
      <c r="C280" s="4">
        <v>0</v>
      </c>
      <c r="D280" s="4">
        <v>1</v>
      </c>
      <c r="E280" s="4">
        <v>228</v>
      </c>
      <c r="F280" s="4">
        <f>ROUND(Source!AY272,O280)</f>
        <v>138984.65</v>
      </c>
      <c r="G280" s="4" t="s">
        <v>325</v>
      </c>
      <c r="H280" s="4" t="s">
        <v>326</v>
      </c>
      <c r="I280" s="4"/>
      <c r="J280" s="4"/>
      <c r="K280" s="4">
        <v>228</v>
      </c>
      <c r="L280" s="4">
        <v>7</v>
      </c>
      <c r="M280" s="4">
        <v>3</v>
      </c>
      <c r="N280" s="4" t="s">
        <v>3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23" x14ac:dyDescent="0.2">
      <c r="A281" s="4">
        <v>50</v>
      </c>
      <c r="B281" s="4">
        <v>0</v>
      </c>
      <c r="C281" s="4">
        <v>0</v>
      </c>
      <c r="D281" s="4">
        <v>1</v>
      </c>
      <c r="E281" s="4">
        <v>216</v>
      </c>
      <c r="F281" s="4">
        <f>ROUND(Source!AP272,O281)</f>
        <v>0</v>
      </c>
      <c r="G281" s="4" t="s">
        <v>327</v>
      </c>
      <c r="H281" s="4" t="s">
        <v>328</v>
      </c>
      <c r="I281" s="4"/>
      <c r="J281" s="4"/>
      <c r="K281" s="4">
        <v>216</v>
      </c>
      <c r="L281" s="4">
        <v>8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3" x14ac:dyDescent="0.2">
      <c r="A282" s="4">
        <v>50</v>
      </c>
      <c r="B282" s="4">
        <v>0</v>
      </c>
      <c r="C282" s="4">
        <v>0</v>
      </c>
      <c r="D282" s="4">
        <v>1</v>
      </c>
      <c r="E282" s="4">
        <v>223</v>
      </c>
      <c r="F282" s="4">
        <f>ROUND(Source!AQ272,O282)</f>
        <v>0</v>
      </c>
      <c r="G282" s="4" t="s">
        <v>329</v>
      </c>
      <c r="H282" s="4" t="s">
        <v>330</v>
      </c>
      <c r="I282" s="4"/>
      <c r="J282" s="4"/>
      <c r="K282" s="4">
        <v>223</v>
      </c>
      <c r="L282" s="4">
        <v>9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3" x14ac:dyDescent="0.2">
      <c r="A283" s="4">
        <v>50</v>
      </c>
      <c r="B283" s="4">
        <v>0</v>
      </c>
      <c r="C283" s="4">
        <v>0</v>
      </c>
      <c r="D283" s="4">
        <v>1</v>
      </c>
      <c r="E283" s="4">
        <v>229</v>
      </c>
      <c r="F283" s="4">
        <f>ROUND(Source!AZ272,O283)</f>
        <v>0</v>
      </c>
      <c r="G283" s="4" t="s">
        <v>331</v>
      </c>
      <c r="H283" s="4" t="s">
        <v>332</v>
      </c>
      <c r="I283" s="4"/>
      <c r="J283" s="4"/>
      <c r="K283" s="4">
        <v>229</v>
      </c>
      <c r="L283" s="4">
        <v>10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3" x14ac:dyDescent="0.2">
      <c r="A284" s="4">
        <v>50</v>
      </c>
      <c r="B284" s="4">
        <v>0</v>
      </c>
      <c r="C284" s="4">
        <v>0</v>
      </c>
      <c r="D284" s="4">
        <v>1</v>
      </c>
      <c r="E284" s="4">
        <v>203</v>
      </c>
      <c r="F284" s="4">
        <f>ROUND(Source!Q272,O284)</f>
        <v>17712.509999999998</v>
      </c>
      <c r="G284" s="4" t="s">
        <v>333</v>
      </c>
      <c r="H284" s="4" t="s">
        <v>334</v>
      </c>
      <c r="I284" s="4"/>
      <c r="J284" s="4"/>
      <c r="K284" s="4">
        <v>203</v>
      </c>
      <c r="L284" s="4">
        <v>11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3" x14ac:dyDescent="0.2">
      <c r="A285" s="4">
        <v>50</v>
      </c>
      <c r="B285" s="4">
        <v>0</v>
      </c>
      <c r="C285" s="4">
        <v>0</v>
      </c>
      <c r="D285" s="4">
        <v>1</v>
      </c>
      <c r="E285" s="4">
        <v>231</v>
      </c>
      <c r="F285" s="4">
        <f>ROUND(Source!BB272,O285)</f>
        <v>0</v>
      </c>
      <c r="G285" s="4" t="s">
        <v>335</v>
      </c>
      <c r="H285" s="4" t="s">
        <v>336</v>
      </c>
      <c r="I285" s="4"/>
      <c r="J285" s="4"/>
      <c r="K285" s="4">
        <v>231</v>
      </c>
      <c r="L285" s="4">
        <v>12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3" x14ac:dyDescent="0.2">
      <c r="A286" s="4">
        <v>50</v>
      </c>
      <c r="B286" s="4">
        <v>0</v>
      </c>
      <c r="C286" s="4">
        <v>0</v>
      </c>
      <c r="D286" s="4">
        <v>1</v>
      </c>
      <c r="E286" s="4">
        <v>204</v>
      </c>
      <c r="F286" s="4">
        <f>ROUND(Source!R272,O286)</f>
        <v>2395.5700000000002</v>
      </c>
      <c r="G286" s="4" t="s">
        <v>337</v>
      </c>
      <c r="H286" s="4" t="s">
        <v>338</v>
      </c>
      <c r="I286" s="4"/>
      <c r="J286" s="4"/>
      <c r="K286" s="4">
        <v>204</v>
      </c>
      <c r="L286" s="4">
        <v>13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3" x14ac:dyDescent="0.2">
      <c r="A287" s="4">
        <v>50</v>
      </c>
      <c r="B287" s="4">
        <v>0</v>
      </c>
      <c r="C287" s="4">
        <v>0</v>
      </c>
      <c r="D287" s="4">
        <v>1</v>
      </c>
      <c r="E287" s="4">
        <v>205</v>
      </c>
      <c r="F287" s="4">
        <f>ROUND(Source!S272,O287)</f>
        <v>24718.45</v>
      </c>
      <c r="G287" s="4" t="s">
        <v>339</v>
      </c>
      <c r="H287" s="4" t="s">
        <v>340</v>
      </c>
      <c r="I287" s="4"/>
      <c r="J287" s="4"/>
      <c r="K287" s="4">
        <v>205</v>
      </c>
      <c r="L287" s="4">
        <v>14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3" x14ac:dyDescent="0.2">
      <c r="A288" s="4">
        <v>50</v>
      </c>
      <c r="B288" s="4">
        <v>0</v>
      </c>
      <c r="C288" s="4">
        <v>0</v>
      </c>
      <c r="D288" s="4">
        <v>1</v>
      </c>
      <c r="E288" s="4">
        <v>232</v>
      </c>
      <c r="F288" s="4">
        <f>ROUND(Source!BC272,O288)</f>
        <v>0</v>
      </c>
      <c r="G288" s="4" t="s">
        <v>341</v>
      </c>
      <c r="H288" s="4" t="s">
        <v>342</v>
      </c>
      <c r="I288" s="4"/>
      <c r="J288" s="4"/>
      <c r="K288" s="4">
        <v>232</v>
      </c>
      <c r="L288" s="4">
        <v>15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06" x14ac:dyDescent="0.2">
      <c r="A289" s="4">
        <v>50</v>
      </c>
      <c r="B289" s="4">
        <v>0</v>
      </c>
      <c r="C289" s="4">
        <v>0</v>
      </c>
      <c r="D289" s="4">
        <v>1</v>
      </c>
      <c r="E289" s="4">
        <v>214</v>
      </c>
      <c r="F289" s="4">
        <f>ROUND(Source!AS272,O289)</f>
        <v>121245.39</v>
      </c>
      <c r="G289" s="4" t="s">
        <v>343</v>
      </c>
      <c r="H289" s="4" t="s">
        <v>344</v>
      </c>
      <c r="I289" s="4"/>
      <c r="J289" s="4"/>
      <c r="K289" s="4">
        <v>214</v>
      </c>
      <c r="L289" s="4">
        <v>16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06" x14ac:dyDescent="0.2">
      <c r="A290" s="4">
        <v>50</v>
      </c>
      <c r="B290" s="4">
        <v>0</v>
      </c>
      <c r="C290" s="4">
        <v>0</v>
      </c>
      <c r="D290" s="4">
        <v>1</v>
      </c>
      <c r="E290" s="4">
        <v>215</v>
      </c>
      <c r="F290" s="4">
        <f>ROUND(Source!AT272,O290)</f>
        <v>110470.18</v>
      </c>
      <c r="G290" s="4" t="s">
        <v>345</v>
      </c>
      <c r="H290" s="4" t="s">
        <v>346</v>
      </c>
      <c r="I290" s="4"/>
      <c r="J290" s="4"/>
      <c r="K290" s="4">
        <v>215</v>
      </c>
      <c r="L290" s="4">
        <v>17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06" x14ac:dyDescent="0.2">
      <c r="A291" s="4">
        <v>50</v>
      </c>
      <c r="B291" s="4">
        <v>0</v>
      </c>
      <c r="C291" s="4">
        <v>0</v>
      </c>
      <c r="D291" s="4">
        <v>1</v>
      </c>
      <c r="E291" s="4">
        <v>217</v>
      </c>
      <c r="F291" s="4">
        <f>ROUND(Source!AU272,O291)</f>
        <v>0</v>
      </c>
      <c r="G291" s="4" t="s">
        <v>347</v>
      </c>
      <c r="H291" s="4" t="s">
        <v>348</v>
      </c>
      <c r="I291" s="4"/>
      <c r="J291" s="4"/>
      <c r="K291" s="4">
        <v>217</v>
      </c>
      <c r="L291" s="4">
        <v>18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06" x14ac:dyDescent="0.2">
      <c r="A292" s="4">
        <v>50</v>
      </c>
      <c r="B292" s="4">
        <v>0</v>
      </c>
      <c r="C292" s="4">
        <v>0</v>
      </c>
      <c r="D292" s="4">
        <v>1</v>
      </c>
      <c r="E292" s="4">
        <v>230</v>
      </c>
      <c r="F292" s="4">
        <f>ROUND(Source!BA272,O292)</f>
        <v>0</v>
      </c>
      <c r="G292" s="4" t="s">
        <v>349</v>
      </c>
      <c r="H292" s="4" t="s">
        <v>350</v>
      </c>
      <c r="I292" s="4"/>
      <c r="J292" s="4"/>
      <c r="K292" s="4">
        <v>230</v>
      </c>
      <c r="L292" s="4">
        <v>19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06" x14ac:dyDescent="0.2">
      <c r="A293" s="4">
        <v>50</v>
      </c>
      <c r="B293" s="4">
        <v>0</v>
      </c>
      <c r="C293" s="4">
        <v>0</v>
      </c>
      <c r="D293" s="4">
        <v>1</v>
      </c>
      <c r="E293" s="4">
        <v>206</v>
      </c>
      <c r="F293" s="4">
        <f>ROUND(Source!T272,O293)</f>
        <v>0</v>
      </c>
      <c r="G293" s="4" t="s">
        <v>351</v>
      </c>
      <c r="H293" s="4" t="s">
        <v>352</v>
      </c>
      <c r="I293" s="4"/>
      <c r="J293" s="4"/>
      <c r="K293" s="4">
        <v>206</v>
      </c>
      <c r="L293" s="4">
        <v>20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06" x14ac:dyDescent="0.2">
      <c r="A294" s="4">
        <v>50</v>
      </c>
      <c r="B294" s="4">
        <v>0</v>
      </c>
      <c r="C294" s="4">
        <v>0</v>
      </c>
      <c r="D294" s="4">
        <v>1</v>
      </c>
      <c r="E294" s="4">
        <v>207</v>
      </c>
      <c r="F294" s="4">
        <f>Source!U272</f>
        <v>407.39287999999993</v>
      </c>
      <c r="G294" s="4" t="s">
        <v>353</v>
      </c>
      <c r="H294" s="4" t="s">
        <v>354</v>
      </c>
      <c r="I294" s="4"/>
      <c r="J294" s="4"/>
      <c r="K294" s="4">
        <v>207</v>
      </c>
      <c r="L294" s="4">
        <v>21</v>
      </c>
      <c r="M294" s="4">
        <v>3</v>
      </c>
      <c r="N294" s="4" t="s">
        <v>3</v>
      </c>
      <c r="O294" s="4">
        <v>-1</v>
      </c>
      <c r="P294" s="4"/>
      <c r="Q294" s="4"/>
      <c r="R294" s="4"/>
      <c r="S294" s="4"/>
      <c r="T294" s="4"/>
      <c r="U294" s="4"/>
      <c r="V294" s="4"/>
      <c r="W294" s="4"/>
    </row>
    <row r="295" spans="1:206" x14ac:dyDescent="0.2">
      <c r="A295" s="4">
        <v>50</v>
      </c>
      <c r="B295" s="4">
        <v>0</v>
      </c>
      <c r="C295" s="4">
        <v>0</v>
      </c>
      <c r="D295" s="4">
        <v>1</v>
      </c>
      <c r="E295" s="4">
        <v>208</v>
      </c>
      <c r="F295" s="4">
        <f>Source!V272</f>
        <v>29.046299999999999</v>
      </c>
      <c r="G295" s="4" t="s">
        <v>355</v>
      </c>
      <c r="H295" s="4" t="s">
        <v>356</v>
      </c>
      <c r="I295" s="4"/>
      <c r="J295" s="4"/>
      <c r="K295" s="4">
        <v>208</v>
      </c>
      <c r="L295" s="4">
        <v>22</v>
      </c>
      <c r="M295" s="4">
        <v>3</v>
      </c>
      <c r="N295" s="4" t="s">
        <v>3</v>
      </c>
      <c r="O295" s="4">
        <v>-1</v>
      </c>
      <c r="P295" s="4"/>
      <c r="Q295" s="4"/>
      <c r="R295" s="4"/>
      <c r="S295" s="4"/>
      <c r="T295" s="4"/>
      <c r="U295" s="4"/>
      <c r="V295" s="4"/>
      <c r="W295" s="4"/>
    </row>
    <row r="296" spans="1:206" x14ac:dyDescent="0.2">
      <c r="A296" s="4">
        <v>50</v>
      </c>
      <c r="B296" s="4">
        <v>0</v>
      </c>
      <c r="C296" s="4">
        <v>0</v>
      </c>
      <c r="D296" s="4">
        <v>1</v>
      </c>
      <c r="E296" s="4">
        <v>209</v>
      </c>
      <c r="F296" s="4">
        <f>ROUND(Source!W272,O296)</f>
        <v>0</v>
      </c>
      <c r="G296" s="4" t="s">
        <v>357</v>
      </c>
      <c r="H296" s="4" t="s">
        <v>358</v>
      </c>
      <c r="I296" s="4"/>
      <c r="J296" s="4"/>
      <c r="K296" s="4">
        <v>209</v>
      </c>
      <c r="L296" s="4">
        <v>23</v>
      </c>
      <c r="M296" s="4">
        <v>3</v>
      </c>
      <c r="N296" s="4" t="s">
        <v>3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06" x14ac:dyDescent="0.2">
      <c r="A297" s="4">
        <v>50</v>
      </c>
      <c r="B297" s="4">
        <v>0</v>
      </c>
      <c r="C297" s="4">
        <v>0</v>
      </c>
      <c r="D297" s="4">
        <v>1</v>
      </c>
      <c r="E297" s="4">
        <v>210</v>
      </c>
      <c r="F297" s="4">
        <f>ROUND(Source!X272,O297)</f>
        <v>31082.58</v>
      </c>
      <c r="G297" s="4" t="s">
        <v>359</v>
      </c>
      <c r="H297" s="4" t="s">
        <v>360</v>
      </c>
      <c r="I297" s="4"/>
      <c r="J297" s="4"/>
      <c r="K297" s="4">
        <v>210</v>
      </c>
      <c r="L297" s="4">
        <v>24</v>
      </c>
      <c r="M297" s="4">
        <v>3</v>
      </c>
      <c r="N297" s="4" t="s">
        <v>3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06" x14ac:dyDescent="0.2">
      <c r="A298" s="4">
        <v>50</v>
      </c>
      <c r="B298" s="4">
        <v>0</v>
      </c>
      <c r="C298" s="4">
        <v>0</v>
      </c>
      <c r="D298" s="4">
        <v>1</v>
      </c>
      <c r="E298" s="4">
        <v>211</v>
      </c>
      <c r="F298" s="4">
        <f>ROUND(Source!Y272,O298)</f>
        <v>19217.38</v>
      </c>
      <c r="G298" s="4" t="s">
        <v>361</v>
      </c>
      <c r="H298" s="4" t="s">
        <v>362</v>
      </c>
      <c r="I298" s="4"/>
      <c r="J298" s="4"/>
      <c r="K298" s="4">
        <v>211</v>
      </c>
      <c r="L298" s="4">
        <v>25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06" x14ac:dyDescent="0.2">
      <c r="A299" s="4">
        <v>50</v>
      </c>
      <c r="B299" s="4">
        <v>0</v>
      </c>
      <c r="C299" s="4">
        <v>0</v>
      </c>
      <c r="D299" s="4">
        <v>1</v>
      </c>
      <c r="E299" s="4">
        <v>224</v>
      </c>
      <c r="F299" s="4">
        <f>ROUND(Source!AR272,O299)</f>
        <v>231715.57</v>
      </c>
      <c r="G299" s="4" t="s">
        <v>363</v>
      </c>
      <c r="H299" s="4" t="s">
        <v>364</v>
      </c>
      <c r="I299" s="4"/>
      <c r="J299" s="4"/>
      <c r="K299" s="4">
        <v>224</v>
      </c>
      <c r="L299" s="4">
        <v>26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1" spans="1:206" x14ac:dyDescent="0.2">
      <c r="A301" s="1">
        <v>4</v>
      </c>
      <c r="B301" s="1">
        <v>1</v>
      </c>
      <c r="C301" s="1"/>
      <c r="D301" s="1">
        <f>ROW(A313)</f>
        <v>313</v>
      </c>
      <c r="E301" s="1"/>
      <c r="F301" s="1" t="s">
        <v>12</v>
      </c>
      <c r="G301" s="1" t="s">
        <v>645</v>
      </c>
      <c r="H301" s="1" t="s">
        <v>3</v>
      </c>
      <c r="I301" s="1">
        <v>0</v>
      </c>
      <c r="J301" s="1"/>
      <c r="K301" s="1">
        <v>-1</v>
      </c>
      <c r="L301" s="1"/>
      <c r="M301" s="1"/>
      <c r="N301" s="1"/>
      <c r="O301" s="1"/>
      <c r="P301" s="1"/>
      <c r="Q301" s="1"/>
      <c r="R301" s="1"/>
      <c r="S301" s="1"/>
      <c r="T301" s="1"/>
      <c r="U301" s="1" t="s">
        <v>3</v>
      </c>
      <c r="V301" s="1">
        <v>0</v>
      </c>
      <c r="W301" s="1"/>
      <c r="X301" s="1"/>
      <c r="Y301" s="1"/>
      <c r="Z301" s="1"/>
      <c r="AA301" s="1"/>
      <c r="AB301" s="1" t="s">
        <v>3</v>
      </c>
      <c r="AC301" s="1" t="s">
        <v>3</v>
      </c>
      <c r="AD301" s="1" t="s">
        <v>3</v>
      </c>
      <c r="AE301" s="1" t="s">
        <v>3</v>
      </c>
      <c r="AF301" s="1" t="s">
        <v>3</v>
      </c>
      <c r="AG301" s="1" t="s">
        <v>3</v>
      </c>
      <c r="AH301" s="1"/>
      <c r="AI301" s="1"/>
      <c r="AJ301" s="1"/>
      <c r="AK301" s="1"/>
      <c r="AL301" s="1"/>
      <c r="AM301" s="1"/>
      <c r="AN301" s="1"/>
      <c r="AO301" s="1"/>
      <c r="AP301" s="1" t="s">
        <v>3</v>
      </c>
      <c r="AQ301" s="1" t="s">
        <v>3</v>
      </c>
      <c r="AR301" s="1" t="s">
        <v>3</v>
      </c>
      <c r="AS301" s="1"/>
      <c r="AT301" s="1"/>
      <c r="AU301" s="1"/>
      <c r="AV301" s="1"/>
      <c r="AW301" s="1"/>
      <c r="AX301" s="1"/>
      <c r="AY301" s="1"/>
      <c r="AZ301" s="1" t="s">
        <v>3</v>
      </c>
      <c r="BA301" s="1"/>
      <c r="BB301" s="1" t="s">
        <v>3</v>
      </c>
      <c r="BC301" s="1" t="s">
        <v>3</v>
      </c>
      <c r="BD301" s="1" t="s">
        <v>3</v>
      </c>
      <c r="BE301" s="1" t="s">
        <v>3</v>
      </c>
      <c r="BF301" s="1" t="s">
        <v>3</v>
      </c>
      <c r="BG301" s="1" t="s">
        <v>3</v>
      </c>
      <c r="BH301" s="1" t="s">
        <v>3</v>
      </c>
      <c r="BI301" s="1" t="s">
        <v>3</v>
      </c>
      <c r="BJ301" s="1" t="s">
        <v>3</v>
      </c>
      <c r="BK301" s="1" t="s">
        <v>3</v>
      </c>
      <c r="BL301" s="1" t="s">
        <v>3</v>
      </c>
      <c r="BM301" s="1" t="s">
        <v>3</v>
      </c>
      <c r="BN301" s="1" t="s">
        <v>3</v>
      </c>
      <c r="BO301" s="1" t="s">
        <v>3</v>
      </c>
      <c r="BP301" s="1" t="s">
        <v>3</v>
      </c>
      <c r="BQ301" s="1"/>
      <c r="BR301" s="1"/>
      <c r="BS301" s="1"/>
      <c r="BT301" s="1"/>
      <c r="BU301" s="1"/>
      <c r="BV301" s="1"/>
      <c r="BW301" s="1"/>
      <c r="BX301" s="1">
        <v>0</v>
      </c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>
        <v>0</v>
      </c>
    </row>
    <row r="303" spans="1:206" x14ac:dyDescent="0.2">
      <c r="A303" s="2">
        <v>52</v>
      </c>
      <c r="B303" s="2">
        <f t="shared" ref="B303:G303" si="248">B313</f>
        <v>1</v>
      </c>
      <c r="C303" s="2">
        <f t="shared" si="248"/>
        <v>4</v>
      </c>
      <c r="D303" s="2">
        <f t="shared" si="248"/>
        <v>301</v>
      </c>
      <c r="E303" s="2">
        <f t="shared" si="248"/>
        <v>0</v>
      </c>
      <c r="F303" s="2" t="str">
        <f t="shared" si="248"/>
        <v>Новый раздел</v>
      </c>
      <c r="G303" s="2" t="str">
        <f t="shared" si="248"/>
        <v>Система вентиляции и кондиционирования</v>
      </c>
      <c r="H303" s="2"/>
      <c r="I303" s="2"/>
      <c r="J303" s="2"/>
      <c r="K303" s="2"/>
      <c r="L303" s="2"/>
      <c r="M303" s="2"/>
      <c r="N303" s="2"/>
      <c r="O303" s="2">
        <f t="shared" ref="O303:AT303" si="249">O313</f>
        <v>31650.959999999999</v>
      </c>
      <c r="P303" s="2">
        <f t="shared" si="249"/>
        <v>29859.29</v>
      </c>
      <c r="Q303" s="2">
        <f t="shared" si="249"/>
        <v>271.19</v>
      </c>
      <c r="R303" s="2">
        <f t="shared" si="249"/>
        <v>20.48</v>
      </c>
      <c r="S303" s="2">
        <f t="shared" si="249"/>
        <v>1520.48</v>
      </c>
      <c r="T303" s="2">
        <f t="shared" si="249"/>
        <v>0</v>
      </c>
      <c r="U303" s="2">
        <f t="shared" si="249"/>
        <v>28.869599999999998</v>
      </c>
      <c r="V303" s="2">
        <f t="shared" si="249"/>
        <v>0.27</v>
      </c>
      <c r="W303" s="2">
        <f t="shared" si="249"/>
        <v>0</v>
      </c>
      <c r="X303" s="2">
        <f t="shared" si="249"/>
        <v>1772.1</v>
      </c>
      <c r="Y303" s="2">
        <f t="shared" si="249"/>
        <v>1094.08</v>
      </c>
      <c r="Z303" s="2">
        <f t="shared" si="249"/>
        <v>0</v>
      </c>
      <c r="AA303" s="2">
        <f t="shared" si="249"/>
        <v>0</v>
      </c>
      <c r="AB303" s="2">
        <f t="shared" si="249"/>
        <v>31650.959999999999</v>
      </c>
      <c r="AC303" s="2">
        <f t="shared" si="249"/>
        <v>29859.29</v>
      </c>
      <c r="AD303" s="2">
        <f t="shared" si="249"/>
        <v>271.19</v>
      </c>
      <c r="AE303" s="2">
        <f t="shared" si="249"/>
        <v>20.48</v>
      </c>
      <c r="AF303" s="2">
        <f t="shared" si="249"/>
        <v>1520.48</v>
      </c>
      <c r="AG303" s="2">
        <f t="shared" si="249"/>
        <v>0</v>
      </c>
      <c r="AH303" s="2">
        <f t="shared" si="249"/>
        <v>28.869599999999998</v>
      </c>
      <c r="AI303" s="2">
        <f t="shared" si="249"/>
        <v>0.27</v>
      </c>
      <c r="AJ303" s="2">
        <f t="shared" si="249"/>
        <v>0</v>
      </c>
      <c r="AK303" s="2">
        <f t="shared" si="249"/>
        <v>1772.1</v>
      </c>
      <c r="AL303" s="2">
        <f t="shared" si="249"/>
        <v>1094.08</v>
      </c>
      <c r="AM303" s="2">
        <f t="shared" si="249"/>
        <v>0</v>
      </c>
      <c r="AN303" s="2">
        <f t="shared" si="249"/>
        <v>0</v>
      </c>
      <c r="AO303" s="2">
        <f t="shared" si="249"/>
        <v>0</v>
      </c>
      <c r="AP303" s="2">
        <f t="shared" si="249"/>
        <v>0</v>
      </c>
      <c r="AQ303" s="2">
        <f t="shared" si="249"/>
        <v>0</v>
      </c>
      <c r="AR303" s="2">
        <f t="shared" si="249"/>
        <v>34517.14</v>
      </c>
      <c r="AS303" s="2">
        <f t="shared" si="249"/>
        <v>34517.14</v>
      </c>
      <c r="AT303" s="2">
        <f t="shared" si="249"/>
        <v>0</v>
      </c>
      <c r="AU303" s="2">
        <f t="shared" ref="AU303:BZ303" si="250">AU313</f>
        <v>0</v>
      </c>
      <c r="AV303" s="2">
        <f t="shared" si="250"/>
        <v>29859.29</v>
      </c>
      <c r="AW303" s="2">
        <f t="shared" si="250"/>
        <v>29859.29</v>
      </c>
      <c r="AX303" s="2">
        <f t="shared" si="250"/>
        <v>0</v>
      </c>
      <c r="AY303" s="2">
        <f t="shared" si="250"/>
        <v>29859.29</v>
      </c>
      <c r="AZ303" s="2">
        <f t="shared" si="250"/>
        <v>0</v>
      </c>
      <c r="BA303" s="2">
        <f t="shared" si="250"/>
        <v>0</v>
      </c>
      <c r="BB303" s="2">
        <f t="shared" si="250"/>
        <v>0</v>
      </c>
      <c r="BC303" s="2">
        <f t="shared" si="250"/>
        <v>0</v>
      </c>
      <c r="BD303" s="2">
        <f t="shared" si="250"/>
        <v>0</v>
      </c>
      <c r="BE303" s="2">
        <f t="shared" si="250"/>
        <v>0</v>
      </c>
      <c r="BF303" s="2">
        <f t="shared" si="250"/>
        <v>0</v>
      </c>
      <c r="BG303" s="2">
        <f t="shared" si="250"/>
        <v>0</v>
      </c>
      <c r="BH303" s="2">
        <f t="shared" si="250"/>
        <v>0</v>
      </c>
      <c r="BI303" s="2">
        <f t="shared" si="250"/>
        <v>0</v>
      </c>
      <c r="BJ303" s="2">
        <f t="shared" si="250"/>
        <v>0</v>
      </c>
      <c r="BK303" s="2">
        <f t="shared" si="250"/>
        <v>0</v>
      </c>
      <c r="BL303" s="2">
        <f t="shared" si="250"/>
        <v>0</v>
      </c>
      <c r="BM303" s="2">
        <f t="shared" si="250"/>
        <v>0</v>
      </c>
      <c r="BN303" s="2">
        <f t="shared" si="250"/>
        <v>0</v>
      </c>
      <c r="BO303" s="2">
        <f t="shared" si="250"/>
        <v>0</v>
      </c>
      <c r="BP303" s="2">
        <f t="shared" si="250"/>
        <v>0</v>
      </c>
      <c r="BQ303" s="2">
        <f t="shared" si="250"/>
        <v>0</v>
      </c>
      <c r="BR303" s="2">
        <f t="shared" si="250"/>
        <v>0</v>
      </c>
      <c r="BS303" s="2">
        <f t="shared" si="250"/>
        <v>0</v>
      </c>
      <c r="BT303" s="2">
        <f t="shared" si="250"/>
        <v>0</v>
      </c>
      <c r="BU303" s="2">
        <f t="shared" si="250"/>
        <v>0</v>
      </c>
      <c r="BV303" s="2">
        <f t="shared" si="250"/>
        <v>0</v>
      </c>
      <c r="BW303" s="2">
        <f t="shared" si="250"/>
        <v>0</v>
      </c>
      <c r="BX303" s="2">
        <f t="shared" si="250"/>
        <v>0</v>
      </c>
      <c r="BY303" s="2">
        <f t="shared" si="250"/>
        <v>0</v>
      </c>
      <c r="BZ303" s="2">
        <f t="shared" si="250"/>
        <v>0</v>
      </c>
      <c r="CA303" s="2">
        <f t="shared" ref="CA303:DF303" si="251">CA313</f>
        <v>34517.14</v>
      </c>
      <c r="CB303" s="2">
        <f t="shared" si="251"/>
        <v>34517.14</v>
      </c>
      <c r="CC303" s="2">
        <f t="shared" si="251"/>
        <v>0</v>
      </c>
      <c r="CD303" s="2">
        <f t="shared" si="251"/>
        <v>0</v>
      </c>
      <c r="CE303" s="2">
        <f t="shared" si="251"/>
        <v>29859.29</v>
      </c>
      <c r="CF303" s="2">
        <f t="shared" si="251"/>
        <v>29859.29</v>
      </c>
      <c r="CG303" s="2">
        <f t="shared" si="251"/>
        <v>0</v>
      </c>
      <c r="CH303" s="2">
        <f t="shared" si="251"/>
        <v>29859.29</v>
      </c>
      <c r="CI303" s="2">
        <f t="shared" si="251"/>
        <v>0</v>
      </c>
      <c r="CJ303" s="2">
        <f t="shared" si="251"/>
        <v>0</v>
      </c>
      <c r="CK303" s="2">
        <f t="shared" si="251"/>
        <v>0</v>
      </c>
      <c r="CL303" s="2">
        <f t="shared" si="251"/>
        <v>0</v>
      </c>
      <c r="CM303" s="2">
        <f t="shared" si="251"/>
        <v>0</v>
      </c>
      <c r="CN303" s="2">
        <f t="shared" si="251"/>
        <v>0</v>
      </c>
      <c r="CO303" s="2">
        <f t="shared" si="251"/>
        <v>0</v>
      </c>
      <c r="CP303" s="2">
        <f t="shared" si="251"/>
        <v>0</v>
      </c>
      <c r="CQ303" s="2">
        <f t="shared" si="251"/>
        <v>0</v>
      </c>
      <c r="CR303" s="2">
        <f t="shared" si="251"/>
        <v>0</v>
      </c>
      <c r="CS303" s="2">
        <f t="shared" si="251"/>
        <v>0</v>
      </c>
      <c r="CT303" s="2">
        <f t="shared" si="251"/>
        <v>0</v>
      </c>
      <c r="CU303" s="2">
        <f t="shared" si="251"/>
        <v>0</v>
      </c>
      <c r="CV303" s="2">
        <f t="shared" si="251"/>
        <v>0</v>
      </c>
      <c r="CW303" s="2">
        <f t="shared" si="251"/>
        <v>0</v>
      </c>
      <c r="CX303" s="2">
        <f t="shared" si="251"/>
        <v>0</v>
      </c>
      <c r="CY303" s="2">
        <f t="shared" si="251"/>
        <v>0</v>
      </c>
      <c r="CZ303" s="2">
        <f t="shared" si="251"/>
        <v>0</v>
      </c>
      <c r="DA303" s="2">
        <f t="shared" si="251"/>
        <v>0</v>
      </c>
      <c r="DB303" s="2">
        <f t="shared" si="251"/>
        <v>0</v>
      </c>
      <c r="DC303" s="2">
        <f t="shared" si="251"/>
        <v>0</v>
      </c>
      <c r="DD303" s="2">
        <f t="shared" si="251"/>
        <v>0</v>
      </c>
      <c r="DE303" s="2">
        <f t="shared" si="251"/>
        <v>0</v>
      </c>
      <c r="DF303" s="2">
        <f t="shared" si="251"/>
        <v>0</v>
      </c>
      <c r="DG303" s="3">
        <f t="shared" ref="DG303:EL303" si="252">DG313</f>
        <v>0</v>
      </c>
      <c r="DH303" s="3">
        <f t="shared" si="252"/>
        <v>0</v>
      </c>
      <c r="DI303" s="3">
        <f t="shared" si="252"/>
        <v>0</v>
      </c>
      <c r="DJ303" s="3">
        <f t="shared" si="252"/>
        <v>0</v>
      </c>
      <c r="DK303" s="3">
        <f t="shared" si="252"/>
        <v>0</v>
      </c>
      <c r="DL303" s="3">
        <f t="shared" si="252"/>
        <v>0</v>
      </c>
      <c r="DM303" s="3">
        <f t="shared" si="252"/>
        <v>0</v>
      </c>
      <c r="DN303" s="3">
        <f t="shared" si="252"/>
        <v>0</v>
      </c>
      <c r="DO303" s="3">
        <f t="shared" si="252"/>
        <v>0</v>
      </c>
      <c r="DP303" s="3">
        <f t="shared" si="252"/>
        <v>0</v>
      </c>
      <c r="DQ303" s="3">
        <f t="shared" si="252"/>
        <v>0</v>
      </c>
      <c r="DR303" s="3">
        <f t="shared" si="252"/>
        <v>0</v>
      </c>
      <c r="DS303" s="3">
        <f t="shared" si="252"/>
        <v>0</v>
      </c>
      <c r="DT303" s="3">
        <f t="shared" si="252"/>
        <v>0</v>
      </c>
      <c r="DU303" s="3">
        <f t="shared" si="252"/>
        <v>0</v>
      </c>
      <c r="DV303" s="3">
        <f t="shared" si="252"/>
        <v>0</v>
      </c>
      <c r="DW303" s="3">
        <f t="shared" si="252"/>
        <v>0</v>
      </c>
      <c r="DX303" s="3">
        <f t="shared" si="252"/>
        <v>0</v>
      </c>
      <c r="DY303" s="3">
        <f t="shared" si="252"/>
        <v>0</v>
      </c>
      <c r="DZ303" s="3">
        <f t="shared" si="252"/>
        <v>0</v>
      </c>
      <c r="EA303" s="3">
        <f t="shared" si="252"/>
        <v>0</v>
      </c>
      <c r="EB303" s="3">
        <f t="shared" si="252"/>
        <v>0</v>
      </c>
      <c r="EC303" s="3">
        <f t="shared" si="252"/>
        <v>0</v>
      </c>
      <c r="ED303" s="3">
        <f t="shared" si="252"/>
        <v>0</v>
      </c>
      <c r="EE303" s="3">
        <f t="shared" si="252"/>
        <v>0</v>
      </c>
      <c r="EF303" s="3">
        <f t="shared" si="252"/>
        <v>0</v>
      </c>
      <c r="EG303" s="3">
        <f t="shared" si="252"/>
        <v>0</v>
      </c>
      <c r="EH303" s="3">
        <f t="shared" si="252"/>
        <v>0</v>
      </c>
      <c r="EI303" s="3">
        <f t="shared" si="252"/>
        <v>0</v>
      </c>
      <c r="EJ303" s="3">
        <f t="shared" si="252"/>
        <v>0</v>
      </c>
      <c r="EK303" s="3">
        <f t="shared" si="252"/>
        <v>0</v>
      </c>
      <c r="EL303" s="3">
        <f t="shared" si="252"/>
        <v>0</v>
      </c>
      <c r="EM303" s="3">
        <f t="shared" ref="EM303:FR303" si="253">EM313</f>
        <v>0</v>
      </c>
      <c r="EN303" s="3">
        <f t="shared" si="253"/>
        <v>0</v>
      </c>
      <c r="EO303" s="3">
        <f t="shared" si="253"/>
        <v>0</v>
      </c>
      <c r="EP303" s="3">
        <f t="shared" si="253"/>
        <v>0</v>
      </c>
      <c r="EQ303" s="3">
        <f t="shared" si="253"/>
        <v>0</v>
      </c>
      <c r="ER303" s="3">
        <f t="shared" si="253"/>
        <v>0</v>
      </c>
      <c r="ES303" s="3">
        <f t="shared" si="253"/>
        <v>0</v>
      </c>
      <c r="ET303" s="3">
        <f t="shared" si="253"/>
        <v>0</v>
      </c>
      <c r="EU303" s="3">
        <f t="shared" si="253"/>
        <v>0</v>
      </c>
      <c r="EV303" s="3">
        <f t="shared" si="253"/>
        <v>0</v>
      </c>
      <c r="EW303" s="3">
        <f t="shared" si="253"/>
        <v>0</v>
      </c>
      <c r="EX303" s="3">
        <f t="shared" si="253"/>
        <v>0</v>
      </c>
      <c r="EY303" s="3">
        <f t="shared" si="253"/>
        <v>0</v>
      </c>
      <c r="EZ303" s="3">
        <f t="shared" si="253"/>
        <v>0</v>
      </c>
      <c r="FA303" s="3">
        <f t="shared" si="253"/>
        <v>0</v>
      </c>
      <c r="FB303" s="3">
        <f t="shared" si="253"/>
        <v>0</v>
      </c>
      <c r="FC303" s="3">
        <f t="shared" si="253"/>
        <v>0</v>
      </c>
      <c r="FD303" s="3">
        <f t="shared" si="253"/>
        <v>0</v>
      </c>
      <c r="FE303" s="3">
        <f t="shared" si="253"/>
        <v>0</v>
      </c>
      <c r="FF303" s="3">
        <f t="shared" si="253"/>
        <v>0</v>
      </c>
      <c r="FG303" s="3">
        <f t="shared" si="253"/>
        <v>0</v>
      </c>
      <c r="FH303" s="3">
        <f t="shared" si="253"/>
        <v>0</v>
      </c>
      <c r="FI303" s="3">
        <f t="shared" si="253"/>
        <v>0</v>
      </c>
      <c r="FJ303" s="3">
        <f t="shared" si="253"/>
        <v>0</v>
      </c>
      <c r="FK303" s="3">
        <f t="shared" si="253"/>
        <v>0</v>
      </c>
      <c r="FL303" s="3">
        <f t="shared" si="253"/>
        <v>0</v>
      </c>
      <c r="FM303" s="3">
        <f t="shared" si="253"/>
        <v>0</v>
      </c>
      <c r="FN303" s="3">
        <f t="shared" si="253"/>
        <v>0</v>
      </c>
      <c r="FO303" s="3">
        <f t="shared" si="253"/>
        <v>0</v>
      </c>
      <c r="FP303" s="3">
        <f t="shared" si="253"/>
        <v>0</v>
      </c>
      <c r="FQ303" s="3">
        <f t="shared" si="253"/>
        <v>0</v>
      </c>
      <c r="FR303" s="3">
        <f t="shared" si="253"/>
        <v>0</v>
      </c>
      <c r="FS303" s="3">
        <f t="shared" ref="FS303:GX303" si="254">FS313</f>
        <v>0</v>
      </c>
      <c r="FT303" s="3">
        <f t="shared" si="254"/>
        <v>0</v>
      </c>
      <c r="FU303" s="3">
        <f t="shared" si="254"/>
        <v>0</v>
      </c>
      <c r="FV303" s="3">
        <f t="shared" si="254"/>
        <v>0</v>
      </c>
      <c r="FW303" s="3">
        <f t="shared" si="254"/>
        <v>0</v>
      </c>
      <c r="FX303" s="3">
        <f t="shared" si="254"/>
        <v>0</v>
      </c>
      <c r="FY303" s="3">
        <f t="shared" si="254"/>
        <v>0</v>
      </c>
      <c r="FZ303" s="3">
        <f t="shared" si="254"/>
        <v>0</v>
      </c>
      <c r="GA303" s="3">
        <f t="shared" si="254"/>
        <v>0</v>
      </c>
      <c r="GB303" s="3">
        <f t="shared" si="254"/>
        <v>0</v>
      </c>
      <c r="GC303" s="3">
        <f t="shared" si="254"/>
        <v>0</v>
      </c>
      <c r="GD303" s="3">
        <f t="shared" si="254"/>
        <v>0</v>
      </c>
      <c r="GE303" s="3">
        <f t="shared" si="254"/>
        <v>0</v>
      </c>
      <c r="GF303" s="3">
        <f t="shared" si="254"/>
        <v>0</v>
      </c>
      <c r="GG303" s="3">
        <f t="shared" si="254"/>
        <v>0</v>
      </c>
      <c r="GH303" s="3">
        <f t="shared" si="254"/>
        <v>0</v>
      </c>
      <c r="GI303" s="3">
        <f t="shared" si="254"/>
        <v>0</v>
      </c>
      <c r="GJ303" s="3">
        <f t="shared" si="254"/>
        <v>0</v>
      </c>
      <c r="GK303" s="3">
        <f t="shared" si="254"/>
        <v>0</v>
      </c>
      <c r="GL303" s="3">
        <f t="shared" si="254"/>
        <v>0</v>
      </c>
      <c r="GM303" s="3">
        <f t="shared" si="254"/>
        <v>0</v>
      </c>
      <c r="GN303" s="3">
        <f t="shared" si="254"/>
        <v>0</v>
      </c>
      <c r="GO303" s="3">
        <f t="shared" si="254"/>
        <v>0</v>
      </c>
      <c r="GP303" s="3">
        <f t="shared" si="254"/>
        <v>0</v>
      </c>
      <c r="GQ303" s="3">
        <f t="shared" si="254"/>
        <v>0</v>
      </c>
      <c r="GR303" s="3">
        <f t="shared" si="254"/>
        <v>0</v>
      </c>
      <c r="GS303" s="3">
        <f t="shared" si="254"/>
        <v>0</v>
      </c>
      <c r="GT303" s="3">
        <f t="shared" si="254"/>
        <v>0</v>
      </c>
      <c r="GU303" s="3">
        <f t="shared" si="254"/>
        <v>0</v>
      </c>
      <c r="GV303" s="3">
        <f t="shared" si="254"/>
        <v>0</v>
      </c>
      <c r="GW303" s="3">
        <f t="shared" si="254"/>
        <v>0</v>
      </c>
      <c r="GX303" s="3">
        <f t="shared" si="254"/>
        <v>0</v>
      </c>
    </row>
    <row r="305" spans="1:245" x14ac:dyDescent="0.2">
      <c r="A305">
        <v>17</v>
      </c>
      <c r="B305">
        <v>1</v>
      </c>
      <c r="C305">
        <f>ROW(SmtRes!A504)</f>
        <v>504</v>
      </c>
      <c r="D305">
        <f>ROW(EtalonRes!A467)</f>
        <v>467</v>
      </c>
      <c r="E305" t="s">
        <v>646</v>
      </c>
      <c r="F305" t="s">
        <v>647</v>
      </c>
      <c r="G305" t="s">
        <v>648</v>
      </c>
      <c r="H305" t="s">
        <v>403</v>
      </c>
      <c r="I305">
        <v>2</v>
      </c>
      <c r="J305">
        <v>0</v>
      </c>
      <c r="O305">
        <f t="shared" ref="O305:O311" si="255">ROUND(CP305,2)</f>
        <v>300</v>
      </c>
      <c r="P305">
        <f t="shared" ref="P305:P311" si="256">ROUND(CQ305*I305,2)</f>
        <v>48.3</v>
      </c>
      <c r="Q305">
        <f t="shared" ref="Q305:Q311" si="257">ROUND(CR305*I305,2)</f>
        <v>30.04</v>
      </c>
      <c r="R305">
        <f t="shared" ref="R305:R311" si="258">ROUND(CS305*I305,2)</f>
        <v>2.21</v>
      </c>
      <c r="S305">
        <f t="shared" ref="S305:S311" si="259">ROUND(CT305*I305,2)</f>
        <v>221.66</v>
      </c>
      <c r="T305">
        <f t="shared" ref="T305:T311" si="260">ROUND(CU305*I305,2)</f>
        <v>0</v>
      </c>
      <c r="U305">
        <f t="shared" ref="U305:U311" si="261">CV305*I305</f>
        <v>4.0295999999999994</v>
      </c>
      <c r="V305">
        <f t="shared" ref="V305:V311" si="262">CW305*I305</f>
        <v>0.03</v>
      </c>
      <c r="W305">
        <f t="shared" ref="W305:W311" si="263">ROUND(CX305*I305,2)</f>
        <v>0</v>
      </c>
      <c r="X305">
        <f t="shared" ref="X305:Y311" si="264">ROUND(CY305,2)</f>
        <v>257.45</v>
      </c>
      <c r="Y305">
        <f t="shared" si="264"/>
        <v>158.94999999999999</v>
      </c>
      <c r="AA305">
        <v>39476960</v>
      </c>
      <c r="AB305">
        <f t="shared" ref="AB305:AB311" si="265">ROUND((AC305+AD305+AF305),2)</f>
        <v>24.47</v>
      </c>
      <c r="AC305">
        <f t="shared" ref="AC305:AC311" si="266">ROUND((ES305),2)</f>
        <v>3.94</v>
      </c>
      <c r="AD305">
        <f>ROUND((((((ET305*1.25)*1.2))-(((EU305*1.25)*1.2)))+AE305),2)</f>
        <v>2.4500000000000002</v>
      </c>
      <c r="AE305">
        <f>ROUND((((EU305*1.25)*1.2)),2)</f>
        <v>0.18</v>
      </c>
      <c r="AF305">
        <f>ROUND((((EV305*1.15)*1.2)),2)</f>
        <v>18.079999999999998</v>
      </c>
      <c r="AG305">
        <f t="shared" ref="AG305:AG311" si="267">ROUND((AP305),2)</f>
        <v>0</v>
      </c>
      <c r="AH305">
        <f>(((EW305*1.15)*1.2))</f>
        <v>2.0147999999999997</v>
      </c>
      <c r="AI305">
        <f>(((EX305*1.25)*1.2))</f>
        <v>1.4999999999999999E-2</v>
      </c>
      <c r="AJ305">
        <f t="shared" ref="AJ305:AJ311" si="268">ROUND((AS305),2)</f>
        <v>0</v>
      </c>
      <c r="AK305">
        <v>18.670000000000002</v>
      </c>
      <c r="AL305">
        <v>3.94</v>
      </c>
      <c r="AM305">
        <v>1.63</v>
      </c>
      <c r="AN305">
        <v>0.12</v>
      </c>
      <c r="AO305">
        <v>13.1</v>
      </c>
      <c r="AP305">
        <v>0</v>
      </c>
      <c r="AQ305">
        <v>1.46</v>
      </c>
      <c r="AR305">
        <v>0.01</v>
      </c>
      <c r="AS305">
        <v>0</v>
      </c>
      <c r="AT305">
        <v>115</v>
      </c>
      <c r="AU305">
        <v>71</v>
      </c>
      <c r="AV305">
        <v>1</v>
      </c>
      <c r="AW305">
        <v>1</v>
      </c>
      <c r="AZ305">
        <v>6.13</v>
      </c>
      <c r="BA305">
        <v>6.13</v>
      </c>
      <c r="BB305">
        <v>6.13</v>
      </c>
      <c r="BC305">
        <v>6.13</v>
      </c>
      <c r="BD305" t="s">
        <v>3</v>
      </c>
      <c r="BE305" t="s">
        <v>3</v>
      </c>
      <c r="BF305" t="s">
        <v>3</v>
      </c>
      <c r="BG305" t="s">
        <v>3</v>
      </c>
      <c r="BH305">
        <v>0</v>
      </c>
      <c r="BI305">
        <v>1</v>
      </c>
      <c r="BJ305" t="s">
        <v>649</v>
      </c>
      <c r="BM305">
        <v>20001</v>
      </c>
      <c r="BN305">
        <v>0</v>
      </c>
      <c r="BO305" t="s">
        <v>3</v>
      </c>
      <c r="BP305">
        <v>0</v>
      </c>
      <c r="BQ305">
        <v>2</v>
      </c>
      <c r="BR305">
        <v>0</v>
      </c>
      <c r="BS305">
        <v>6.13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3</v>
      </c>
      <c r="BZ305">
        <v>128</v>
      </c>
      <c r="CA305">
        <v>83</v>
      </c>
      <c r="CF305">
        <v>0</v>
      </c>
      <c r="CG305">
        <v>0</v>
      </c>
      <c r="CM305">
        <v>0</v>
      </c>
      <c r="CN305" t="s">
        <v>1274</v>
      </c>
      <c r="CO305">
        <v>0</v>
      </c>
      <c r="CP305">
        <f t="shared" ref="CP305:CP311" si="269">(P305+Q305+S305)</f>
        <v>300</v>
      </c>
      <c r="CQ305">
        <f t="shared" ref="CQ305:CQ311" si="270">AC305*BC305</f>
        <v>24.152200000000001</v>
      </c>
      <c r="CR305">
        <f t="shared" ref="CR305:CR311" si="271">AD305*BB305</f>
        <v>15.018500000000001</v>
      </c>
      <c r="CS305">
        <f t="shared" ref="CS305:CS311" si="272">AE305*BS305</f>
        <v>1.1033999999999999</v>
      </c>
      <c r="CT305">
        <f t="shared" ref="CT305:CT311" si="273">AF305*BA305</f>
        <v>110.83039999999998</v>
      </c>
      <c r="CU305">
        <f t="shared" ref="CU305:CX311" si="274">AG305</f>
        <v>0</v>
      </c>
      <c r="CV305">
        <f t="shared" si="274"/>
        <v>2.0147999999999997</v>
      </c>
      <c r="CW305">
        <f t="shared" si="274"/>
        <v>1.4999999999999999E-2</v>
      </c>
      <c r="CX305">
        <f t="shared" si="274"/>
        <v>0</v>
      </c>
      <c r="CY305">
        <f t="shared" ref="CY305:CY311" si="275">(((S305+R305)*AT305)/100)</f>
        <v>257.45049999999998</v>
      </c>
      <c r="CZ305">
        <f t="shared" ref="CZ305:CZ311" si="276">(((S305+R305)*AU305)/100)</f>
        <v>158.9477</v>
      </c>
      <c r="DC305" t="s">
        <v>3</v>
      </c>
      <c r="DD305" t="s">
        <v>3</v>
      </c>
      <c r="DE305" t="s">
        <v>53</v>
      </c>
      <c r="DF305" t="s">
        <v>53</v>
      </c>
      <c r="DG305" t="s">
        <v>54</v>
      </c>
      <c r="DH305" t="s">
        <v>3</v>
      </c>
      <c r="DI305" t="s">
        <v>54</v>
      </c>
      <c r="DJ305" t="s">
        <v>53</v>
      </c>
      <c r="DK305" t="s">
        <v>3</v>
      </c>
      <c r="DL305" t="s">
        <v>3</v>
      </c>
      <c r="DM305" t="s">
        <v>3</v>
      </c>
      <c r="DN305">
        <v>0</v>
      </c>
      <c r="DO305">
        <v>0</v>
      </c>
      <c r="DP305">
        <v>1</v>
      </c>
      <c r="DQ305">
        <v>1</v>
      </c>
      <c r="DU305">
        <v>1013</v>
      </c>
      <c r="DV305" t="s">
        <v>403</v>
      </c>
      <c r="DW305" t="s">
        <v>403</v>
      </c>
      <c r="DX305">
        <v>1</v>
      </c>
      <c r="EE305">
        <v>39174534</v>
      </c>
      <c r="EF305">
        <v>2</v>
      </c>
      <c r="EG305" t="s">
        <v>13</v>
      </c>
      <c r="EH305">
        <v>0</v>
      </c>
      <c r="EI305" t="s">
        <v>3</v>
      </c>
      <c r="EJ305">
        <v>1</v>
      </c>
      <c r="EK305">
        <v>20001</v>
      </c>
      <c r="EL305" t="s">
        <v>650</v>
      </c>
      <c r="EM305" t="s">
        <v>651</v>
      </c>
      <c r="EO305" t="s">
        <v>89</v>
      </c>
      <c r="EQ305">
        <v>0</v>
      </c>
      <c r="ER305">
        <v>18.670000000000002</v>
      </c>
      <c r="ES305">
        <v>3.94</v>
      </c>
      <c r="ET305">
        <v>1.63</v>
      </c>
      <c r="EU305">
        <v>0.12</v>
      </c>
      <c r="EV305">
        <v>13.1</v>
      </c>
      <c r="EW305">
        <v>1.46</v>
      </c>
      <c r="EX305">
        <v>0.01</v>
      </c>
      <c r="EY305">
        <v>0</v>
      </c>
      <c r="FQ305">
        <v>0</v>
      </c>
      <c r="FR305">
        <f t="shared" ref="FR305:FR311" si="277">ROUND(IF(AND(BH305=3,BI305=3),P305,0),2)</f>
        <v>0</v>
      </c>
      <c r="FS305">
        <v>0</v>
      </c>
      <c r="FT305" t="s">
        <v>29</v>
      </c>
      <c r="FU305" t="s">
        <v>30</v>
      </c>
      <c r="FX305">
        <v>115.2</v>
      </c>
      <c r="FY305">
        <v>70.55</v>
      </c>
      <c r="GA305" t="s">
        <v>3</v>
      </c>
      <c r="GD305">
        <v>0</v>
      </c>
      <c r="GF305">
        <v>501212962</v>
      </c>
      <c r="GG305">
        <v>1</v>
      </c>
      <c r="GH305">
        <v>1</v>
      </c>
      <c r="GI305">
        <v>4</v>
      </c>
      <c r="GJ305">
        <v>0</v>
      </c>
      <c r="GK305">
        <f>ROUND(R305*(R12)/100,2)</f>
        <v>0</v>
      </c>
      <c r="GL305">
        <f t="shared" ref="GL305:GL311" si="278">ROUND(IF(AND(BH305=3,BI305=3,FS305&lt;&gt;0),P305,0),2)</f>
        <v>0</v>
      </c>
      <c r="GM305">
        <f t="shared" ref="GM305:GM311" si="279">ROUND(O305+X305+Y305+GK305,2)+GX305</f>
        <v>716.4</v>
      </c>
      <c r="GN305">
        <f t="shared" ref="GN305:GN311" si="280">IF(OR(BI305=0,BI305=1),ROUND(O305+X305+Y305+GK305,2),0)</f>
        <v>716.4</v>
      </c>
      <c r="GO305">
        <f t="shared" ref="GO305:GO311" si="281">IF(BI305=2,ROUND(O305+X305+Y305+GK305,2),0)</f>
        <v>0</v>
      </c>
      <c r="GP305">
        <f t="shared" ref="GP305:GP311" si="282">IF(BI305=4,ROUND(O305+X305+Y305+GK305,2)+GX305,0)</f>
        <v>0</v>
      </c>
      <c r="GR305">
        <v>0</v>
      </c>
      <c r="GS305">
        <v>3</v>
      </c>
      <c r="GT305">
        <v>0</v>
      </c>
      <c r="GU305" t="s">
        <v>3</v>
      </c>
      <c r="GV305">
        <f t="shared" ref="GV305:GV311" si="283">ROUND(GT305,2)</f>
        <v>0</v>
      </c>
      <c r="GW305">
        <v>1</v>
      </c>
      <c r="GX305">
        <f t="shared" ref="GX305:GX311" si="284">ROUND(GV305*GW305*I305,2)</f>
        <v>0</v>
      </c>
      <c r="HA305">
        <v>0</v>
      </c>
      <c r="HB305">
        <v>0</v>
      </c>
      <c r="IK305">
        <v>0</v>
      </c>
    </row>
    <row r="306" spans="1:245" x14ac:dyDescent="0.2">
      <c r="A306">
        <v>18</v>
      </c>
      <c r="B306">
        <v>1</v>
      </c>
      <c r="C306">
        <v>503</v>
      </c>
      <c r="E306" t="s">
        <v>652</v>
      </c>
      <c r="F306" t="s">
        <v>653</v>
      </c>
      <c r="G306" t="s">
        <v>654</v>
      </c>
      <c r="H306" t="s">
        <v>415</v>
      </c>
      <c r="I306">
        <f>I305*J306</f>
        <v>2</v>
      </c>
      <c r="J306">
        <v>1</v>
      </c>
      <c r="O306">
        <f t="shared" si="255"/>
        <v>1227.23</v>
      </c>
      <c r="P306">
        <f t="shared" si="256"/>
        <v>1227.23</v>
      </c>
      <c r="Q306">
        <f t="shared" si="257"/>
        <v>0</v>
      </c>
      <c r="R306">
        <f t="shared" si="258"/>
        <v>0</v>
      </c>
      <c r="S306">
        <f t="shared" si="259"/>
        <v>0</v>
      </c>
      <c r="T306">
        <f t="shared" si="260"/>
        <v>0</v>
      </c>
      <c r="U306">
        <f t="shared" si="261"/>
        <v>0</v>
      </c>
      <c r="V306">
        <f t="shared" si="262"/>
        <v>0</v>
      </c>
      <c r="W306">
        <f t="shared" si="263"/>
        <v>0</v>
      </c>
      <c r="X306">
        <f t="shared" si="264"/>
        <v>0</v>
      </c>
      <c r="Y306">
        <f t="shared" si="264"/>
        <v>0</v>
      </c>
      <c r="AA306">
        <v>39476960</v>
      </c>
      <c r="AB306">
        <f t="shared" si="265"/>
        <v>100.1</v>
      </c>
      <c r="AC306">
        <f t="shared" si="266"/>
        <v>100.1</v>
      </c>
      <c r="AD306">
        <f>ROUND((((ET306)-(EU306))+AE306),2)</f>
        <v>0</v>
      </c>
      <c r="AE306">
        <f>ROUND((EU306),2)</f>
        <v>0</v>
      </c>
      <c r="AF306">
        <f>ROUND((EV306),2)</f>
        <v>0</v>
      </c>
      <c r="AG306">
        <f t="shared" si="267"/>
        <v>0</v>
      </c>
      <c r="AH306">
        <f>(EW306)</f>
        <v>0</v>
      </c>
      <c r="AI306">
        <f>(EX306)</f>
        <v>0</v>
      </c>
      <c r="AJ306">
        <f t="shared" si="268"/>
        <v>0</v>
      </c>
      <c r="AK306">
        <v>100.1</v>
      </c>
      <c r="AL306">
        <v>100.1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115</v>
      </c>
      <c r="AU306">
        <v>71</v>
      </c>
      <c r="AV306">
        <v>1</v>
      </c>
      <c r="AW306">
        <v>1</v>
      </c>
      <c r="AZ306">
        <v>6.13</v>
      </c>
      <c r="BA306">
        <v>1</v>
      </c>
      <c r="BB306">
        <v>1</v>
      </c>
      <c r="BC306">
        <v>6.13</v>
      </c>
      <c r="BD306" t="s">
        <v>3</v>
      </c>
      <c r="BE306" t="s">
        <v>3</v>
      </c>
      <c r="BF306" t="s">
        <v>3</v>
      </c>
      <c r="BG306" t="s">
        <v>3</v>
      </c>
      <c r="BH306">
        <v>3</v>
      </c>
      <c r="BI306">
        <v>1</v>
      </c>
      <c r="BJ306" t="s">
        <v>655</v>
      </c>
      <c r="BM306">
        <v>20001</v>
      </c>
      <c r="BN306">
        <v>0</v>
      </c>
      <c r="BO306" t="s">
        <v>3</v>
      </c>
      <c r="BP306">
        <v>0</v>
      </c>
      <c r="BQ306">
        <v>2</v>
      </c>
      <c r="BR306">
        <v>0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3</v>
      </c>
      <c r="BZ306">
        <v>128</v>
      </c>
      <c r="CA306">
        <v>83</v>
      </c>
      <c r="CF306">
        <v>0</v>
      </c>
      <c r="CG306">
        <v>0</v>
      </c>
      <c r="CM306">
        <v>0</v>
      </c>
      <c r="CN306" t="s">
        <v>3</v>
      </c>
      <c r="CO306">
        <v>0</v>
      </c>
      <c r="CP306">
        <f t="shared" si="269"/>
        <v>1227.23</v>
      </c>
      <c r="CQ306">
        <f t="shared" si="270"/>
        <v>613.61299999999994</v>
      </c>
      <c r="CR306">
        <f t="shared" si="271"/>
        <v>0</v>
      </c>
      <c r="CS306">
        <f t="shared" si="272"/>
        <v>0</v>
      </c>
      <c r="CT306">
        <f t="shared" si="273"/>
        <v>0</v>
      </c>
      <c r="CU306">
        <f t="shared" si="274"/>
        <v>0</v>
      </c>
      <c r="CV306">
        <f t="shared" si="274"/>
        <v>0</v>
      </c>
      <c r="CW306">
        <f t="shared" si="274"/>
        <v>0</v>
      </c>
      <c r="CX306">
        <f t="shared" si="274"/>
        <v>0</v>
      </c>
      <c r="CY306">
        <f t="shared" si="275"/>
        <v>0</v>
      </c>
      <c r="CZ306">
        <f t="shared" si="276"/>
        <v>0</v>
      </c>
      <c r="DC306" t="s">
        <v>3</v>
      </c>
      <c r="DD306" t="s">
        <v>3</v>
      </c>
      <c r="DE306" t="s">
        <v>3</v>
      </c>
      <c r="DF306" t="s">
        <v>3</v>
      </c>
      <c r="DG306" t="s">
        <v>3</v>
      </c>
      <c r="DH306" t="s">
        <v>3</v>
      </c>
      <c r="DI306" t="s">
        <v>3</v>
      </c>
      <c r="DJ306" t="s">
        <v>3</v>
      </c>
      <c r="DK306" t="s">
        <v>3</v>
      </c>
      <c r="DL306" t="s">
        <v>3</v>
      </c>
      <c r="DM306" t="s">
        <v>3</v>
      </c>
      <c r="DN306">
        <v>0</v>
      </c>
      <c r="DO306">
        <v>0</v>
      </c>
      <c r="DP306">
        <v>1</v>
      </c>
      <c r="DQ306">
        <v>1</v>
      </c>
      <c r="DU306">
        <v>1010</v>
      </c>
      <c r="DV306" t="s">
        <v>415</v>
      </c>
      <c r="DW306" t="s">
        <v>415</v>
      </c>
      <c r="DX306">
        <v>1</v>
      </c>
      <c r="EE306">
        <v>39174534</v>
      </c>
      <c r="EF306">
        <v>2</v>
      </c>
      <c r="EG306" t="s">
        <v>13</v>
      </c>
      <c r="EH306">
        <v>0</v>
      </c>
      <c r="EI306" t="s">
        <v>3</v>
      </c>
      <c r="EJ306">
        <v>1</v>
      </c>
      <c r="EK306">
        <v>20001</v>
      </c>
      <c r="EL306" t="s">
        <v>650</v>
      </c>
      <c r="EM306" t="s">
        <v>651</v>
      </c>
      <c r="EO306" t="s">
        <v>3</v>
      </c>
      <c r="EQ306">
        <v>0</v>
      </c>
      <c r="ER306">
        <v>100.1</v>
      </c>
      <c r="ES306">
        <v>100.1</v>
      </c>
      <c r="ET306">
        <v>0</v>
      </c>
      <c r="EU306">
        <v>0</v>
      </c>
      <c r="EV306">
        <v>0</v>
      </c>
      <c r="EW306">
        <v>0</v>
      </c>
      <c r="EX306">
        <v>0</v>
      </c>
      <c r="FQ306">
        <v>0</v>
      </c>
      <c r="FR306">
        <f t="shared" si="277"/>
        <v>0</v>
      </c>
      <c r="FS306">
        <v>0</v>
      </c>
      <c r="FT306" t="s">
        <v>29</v>
      </c>
      <c r="FU306" t="s">
        <v>30</v>
      </c>
      <c r="FX306">
        <v>115.2</v>
      </c>
      <c r="FY306">
        <v>70.55</v>
      </c>
      <c r="GA306" t="s">
        <v>3</v>
      </c>
      <c r="GD306">
        <v>0</v>
      </c>
      <c r="GF306">
        <v>132766544</v>
      </c>
      <c r="GG306">
        <v>1</v>
      </c>
      <c r="GH306">
        <v>1</v>
      </c>
      <c r="GI306">
        <v>4</v>
      </c>
      <c r="GJ306">
        <v>0</v>
      </c>
      <c r="GK306">
        <f>ROUND(R306*(R12)/100,2)</f>
        <v>0</v>
      </c>
      <c r="GL306">
        <f t="shared" si="278"/>
        <v>0</v>
      </c>
      <c r="GM306">
        <f t="shared" si="279"/>
        <v>1227.23</v>
      </c>
      <c r="GN306">
        <f t="shared" si="280"/>
        <v>1227.23</v>
      </c>
      <c r="GO306">
        <f t="shared" si="281"/>
        <v>0</v>
      </c>
      <c r="GP306">
        <f t="shared" si="282"/>
        <v>0</v>
      </c>
      <c r="GR306">
        <v>0</v>
      </c>
      <c r="GS306">
        <v>3</v>
      </c>
      <c r="GT306">
        <v>0</v>
      </c>
      <c r="GU306" t="s">
        <v>3</v>
      </c>
      <c r="GV306">
        <f t="shared" si="283"/>
        <v>0</v>
      </c>
      <c r="GW306">
        <v>1</v>
      </c>
      <c r="GX306">
        <f t="shared" si="284"/>
        <v>0</v>
      </c>
      <c r="HA306">
        <v>0</v>
      </c>
      <c r="HB306">
        <v>0</v>
      </c>
      <c r="IK306">
        <v>0</v>
      </c>
    </row>
    <row r="307" spans="1:245" x14ac:dyDescent="0.2">
      <c r="A307">
        <v>18</v>
      </c>
      <c r="B307">
        <v>1</v>
      </c>
      <c r="C307">
        <v>504</v>
      </c>
      <c r="E307" t="s">
        <v>656</v>
      </c>
      <c r="F307" t="s">
        <v>657</v>
      </c>
      <c r="G307" t="s">
        <v>658</v>
      </c>
      <c r="H307" t="s">
        <v>415</v>
      </c>
      <c r="I307">
        <f>I305*J307</f>
        <v>2</v>
      </c>
      <c r="J307">
        <v>1</v>
      </c>
      <c r="O307">
        <f t="shared" si="255"/>
        <v>0</v>
      </c>
      <c r="P307">
        <f t="shared" si="256"/>
        <v>0</v>
      </c>
      <c r="Q307">
        <f t="shared" si="257"/>
        <v>0</v>
      </c>
      <c r="R307">
        <f t="shared" si="258"/>
        <v>0</v>
      </c>
      <c r="S307">
        <f t="shared" si="259"/>
        <v>0</v>
      </c>
      <c r="T307">
        <f t="shared" si="260"/>
        <v>0</v>
      </c>
      <c r="U307">
        <f t="shared" si="261"/>
        <v>0</v>
      </c>
      <c r="V307">
        <f t="shared" si="262"/>
        <v>0</v>
      </c>
      <c r="W307">
        <f t="shared" si="263"/>
        <v>0</v>
      </c>
      <c r="X307">
        <f t="shared" si="264"/>
        <v>0</v>
      </c>
      <c r="Y307">
        <f t="shared" si="264"/>
        <v>0</v>
      </c>
      <c r="AA307">
        <v>39476960</v>
      </c>
      <c r="AB307">
        <f t="shared" si="265"/>
        <v>0</v>
      </c>
      <c r="AC307">
        <f t="shared" si="266"/>
        <v>0</v>
      </c>
      <c r="AD307">
        <f>ROUND((((ET307)-(EU307))+AE307),2)</f>
        <v>0</v>
      </c>
      <c r="AE307">
        <f>ROUND((EU307),2)</f>
        <v>0</v>
      </c>
      <c r="AF307">
        <f>ROUND((EV307),2)</f>
        <v>0</v>
      </c>
      <c r="AG307">
        <f t="shared" si="267"/>
        <v>0</v>
      </c>
      <c r="AH307">
        <f>(EW307)</f>
        <v>0</v>
      </c>
      <c r="AI307">
        <f>(EX307)</f>
        <v>0</v>
      </c>
      <c r="AJ307">
        <f t="shared" si="268"/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115</v>
      </c>
      <c r="AU307">
        <v>71</v>
      </c>
      <c r="AV307">
        <v>1</v>
      </c>
      <c r="AW307">
        <v>1</v>
      </c>
      <c r="AZ307">
        <v>6.13</v>
      </c>
      <c r="BA307">
        <v>1</v>
      </c>
      <c r="BB307">
        <v>1</v>
      </c>
      <c r="BC307">
        <v>6.13</v>
      </c>
      <c r="BD307" t="s">
        <v>3</v>
      </c>
      <c r="BE307" t="s">
        <v>3</v>
      </c>
      <c r="BF307" t="s">
        <v>3</v>
      </c>
      <c r="BG307" t="s">
        <v>3</v>
      </c>
      <c r="BH307">
        <v>3</v>
      </c>
      <c r="BI307">
        <v>1</v>
      </c>
      <c r="BJ307" t="s">
        <v>3</v>
      </c>
      <c r="BM307">
        <v>20001</v>
      </c>
      <c r="BN307">
        <v>0</v>
      </c>
      <c r="BO307" t="s">
        <v>3</v>
      </c>
      <c r="BP307">
        <v>0</v>
      </c>
      <c r="BQ307">
        <v>2</v>
      </c>
      <c r="BR307">
        <v>0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3</v>
      </c>
      <c r="BZ307">
        <v>128</v>
      </c>
      <c r="CA307">
        <v>83</v>
      </c>
      <c r="CF307">
        <v>0</v>
      </c>
      <c r="CG307">
        <v>0</v>
      </c>
      <c r="CM307">
        <v>0</v>
      </c>
      <c r="CN307" t="s">
        <v>3</v>
      </c>
      <c r="CO307">
        <v>0</v>
      </c>
      <c r="CP307">
        <f t="shared" si="269"/>
        <v>0</v>
      </c>
      <c r="CQ307">
        <f t="shared" si="270"/>
        <v>0</v>
      </c>
      <c r="CR307">
        <f t="shared" si="271"/>
        <v>0</v>
      </c>
      <c r="CS307">
        <f t="shared" si="272"/>
        <v>0</v>
      </c>
      <c r="CT307">
        <f t="shared" si="273"/>
        <v>0</v>
      </c>
      <c r="CU307">
        <f t="shared" si="274"/>
        <v>0</v>
      </c>
      <c r="CV307">
        <f t="shared" si="274"/>
        <v>0</v>
      </c>
      <c r="CW307">
        <f t="shared" si="274"/>
        <v>0</v>
      </c>
      <c r="CX307">
        <f t="shared" si="274"/>
        <v>0</v>
      </c>
      <c r="CY307">
        <f t="shared" si="275"/>
        <v>0</v>
      </c>
      <c r="CZ307">
        <f t="shared" si="276"/>
        <v>0</v>
      </c>
      <c r="DC307" t="s">
        <v>3</v>
      </c>
      <c r="DD307" t="s">
        <v>3</v>
      </c>
      <c r="DE307" t="s">
        <v>3</v>
      </c>
      <c r="DF307" t="s">
        <v>3</v>
      </c>
      <c r="DG307" t="s">
        <v>3</v>
      </c>
      <c r="DH307" t="s">
        <v>3</v>
      </c>
      <c r="DI307" t="s">
        <v>3</v>
      </c>
      <c r="DJ307" t="s">
        <v>3</v>
      </c>
      <c r="DK307" t="s">
        <v>3</v>
      </c>
      <c r="DL307" t="s">
        <v>3</v>
      </c>
      <c r="DM307" t="s">
        <v>3</v>
      </c>
      <c r="DN307">
        <v>0</v>
      </c>
      <c r="DO307">
        <v>0</v>
      </c>
      <c r="DP307">
        <v>1</v>
      </c>
      <c r="DQ307">
        <v>1</v>
      </c>
      <c r="DU307">
        <v>1010</v>
      </c>
      <c r="DV307" t="s">
        <v>415</v>
      </c>
      <c r="DW307" t="s">
        <v>415</v>
      </c>
      <c r="DX307">
        <v>1</v>
      </c>
      <c r="EE307">
        <v>39174534</v>
      </c>
      <c r="EF307">
        <v>2</v>
      </c>
      <c r="EG307" t="s">
        <v>13</v>
      </c>
      <c r="EH307">
        <v>0</v>
      </c>
      <c r="EI307" t="s">
        <v>3</v>
      </c>
      <c r="EJ307">
        <v>1</v>
      </c>
      <c r="EK307">
        <v>20001</v>
      </c>
      <c r="EL307" t="s">
        <v>650</v>
      </c>
      <c r="EM307" t="s">
        <v>651</v>
      </c>
      <c r="EO307" t="s">
        <v>3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FQ307">
        <v>0</v>
      </c>
      <c r="FR307">
        <f t="shared" si="277"/>
        <v>0</v>
      </c>
      <c r="FS307">
        <v>0</v>
      </c>
      <c r="FT307" t="s">
        <v>29</v>
      </c>
      <c r="FU307" t="s">
        <v>30</v>
      </c>
      <c r="FX307">
        <v>115.2</v>
      </c>
      <c r="FY307">
        <v>70.55</v>
      </c>
      <c r="GA307" t="s">
        <v>3</v>
      </c>
      <c r="GD307">
        <v>0</v>
      </c>
      <c r="GF307">
        <v>-698526538</v>
      </c>
      <c r="GG307">
        <v>1</v>
      </c>
      <c r="GH307">
        <v>1</v>
      </c>
      <c r="GI307">
        <v>4</v>
      </c>
      <c r="GJ307">
        <v>0</v>
      </c>
      <c r="GK307">
        <f>ROUND(R307*(R12)/100,2)</f>
        <v>0</v>
      </c>
      <c r="GL307">
        <f t="shared" si="278"/>
        <v>0</v>
      </c>
      <c r="GM307">
        <f t="shared" si="279"/>
        <v>0</v>
      </c>
      <c r="GN307">
        <f t="shared" si="280"/>
        <v>0</v>
      </c>
      <c r="GO307">
        <f t="shared" si="281"/>
        <v>0</v>
      </c>
      <c r="GP307">
        <f t="shared" si="282"/>
        <v>0</v>
      </c>
      <c r="GR307">
        <v>0</v>
      </c>
      <c r="GS307">
        <v>3</v>
      </c>
      <c r="GT307">
        <v>0</v>
      </c>
      <c r="GU307" t="s">
        <v>3</v>
      </c>
      <c r="GV307">
        <f t="shared" si="283"/>
        <v>0</v>
      </c>
      <c r="GW307">
        <v>1</v>
      </c>
      <c r="GX307">
        <f t="shared" si="284"/>
        <v>0</v>
      </c>
      <c r="HA307">
        <v>0</v>
      </c>
      <c r="HB307">
        <v>0</v>
      </c>
      <c r="IK307">
        <v>0</v>
      </c>
    </row>
    <row r="308" spans="1:245" x14ac:dyDescent="0.2">
      <c r="A308">
        <v>17</v>
      </c>
      <c r="B308">
        <v>1</v>
      </c>
      <c r="C308">
        <f>ROW(SmtRes!A512)</f>
        <v>512</v>
      </c>
      <c r="D308">
        <f>ROW(EtalonRes!A473)</f>
        <v>473</v>
      </c>
      <c r="E308" t="s">
        <v>659</v>
      </c>
      <c r="F308" t="s">
        <v>660</v>
      </c>
      <c r="G308" t="s">
        <v>661</v>
      </c>
      <c r="H308" t="s">
        <v>403</v>
      </c>
      <c r="I308">
        <v>2</v>
      </c>
      <c r="J308">
        <v>0</v>
      </c>
      <c r="O308">
        <f t="shared" si="255"/>
        <v>1539.97</v>
      </c>
      <c r="P308">
        <f t="shared" si="256"/>
        <v>0</v>
      </c>
      <c r="Q308">
        <f t="shared" si="257"/>
        <v>241.15</v>
      </c>
      <c r="R308">
        <f t="shared" si="258"/>
        <v>18.27</v>
      </c>
      <c r="S308">
        <f t="shared" si="259"/>
        <v>1298.82</v>
      </c>
      <c r="T308">
        <f t="shared" si="260"/>
        <v>0</v>
      </c>
      <c r="U308">
        <f t="shared" si="261"/>
        <v>24.84</v>
      </c>
      <c r="V308">
        <f t="shared" si="262"/>
        <v>0.24</v>
      </c>
      <c r="W308">
        <f t="shared" si="263"/>
        <v>0</v>
      </c>
      <c r="X308">
        <f t="shared" si="264"/>
        <v>1514.65</v>
      </c>
      <c r="Y308">
        <f t="shared" si="264"/>
        <v>935.13</v>
      </c>
      <c r="AA308">
        <v>39476960</v>
      </c>
      <c r="AB308">
        <f t="shared" si="265"/>
        <v>125.61</v>
      </c>
      <c r="AC308">
        <f t="shared" si="266"/>
        <v>0</v>
      </c>
      <c r="AD308">
        <f>ROUND((((((ET308*1.25)*1.2))-(((EU308*1.25)*1.2)))+AE308),2)</f>
        <v>19.670000000000002</v>
      </c>
      <c r="AE308">
        <f>ROUND((((EU308*1.25)*1.2)),2)</f>
        <v>1.49</v>
      </c>
      <c r="AF308">
        <f>ROUND((((EV308*1.15)*1.2)),2)</f>
        <v>105.94</v>
      </c>
      <c r="AG308">
        <f t="shared" si="267"/>
        <v>0</v>
      </c>
      <c r="AH308">
        <f>(((EW308*1.15)*1.2))</f>
        <v>12.42</v>
      </c>
      <c r="AI308">
        <f>(((EX308*1.25)*1.2))</f>
        <v>0.12</v>
      </c>
      <c r="AJ308">
        <f t="shared" si="268"/>
        <v>0</v>
      </c>
      <c r="AK308">
        <v>89.88</v>
      </c>
      <c r="AL308">
        <v>0</v>
      </c>
      <c r="AM308">
        <v>13.11</v>
      </c>
      <c r="AN308">
        <v>0.99</v>
      </c>
      <c r="AO308">
        <v>76.77</v>
      </c>
      <c r="AP308">
        <v>0</v>
      </c>
      <c r="AQ308">
        <v>9</v>
      </c>
      <c r="AR308">
        <v>0.08</v>
      </c>
      <c r="AS308">
        <v>0</v>
      </c>
      <c r="AT308">
        <v>115</v>
      </c>
      <c r="AU308">
        <v>71</v>
      </c>
      <c r="AV308">
        <v>1</v>
      </c>
      <c r="AW308">
        <v>1</v>
      </c>
      <c r="AZ308">
        <v>6.13</v>
      </c>
      <c r="BA308">
        <v>6.13</v>
      </c>
      <c r="BB308">
        <v>6.13</v>
      </c>
      <c r="BC308">
        <v>6.13</v>
      </c>
      <c r="BD308" t="s">
        <v>3</v>
      </c>
      <c r="BE308" t="s">
        <v>3</v>
      </c>
      <c r="BF308" t="s">
        <v>3</v>
      </c>
      <c r="BG308" t="s">
        <v>3</v>
      </c>
      <c r="BH308">
        <v>0</v>
      </c>
      <c r="BI308">
        <v>1</v>
      </c>
      <c r="BJ308" t="s">
        <v>662</v>
      </c>
      <c r="BM308">
        <v>20001</v>
      </c>
      <c r="BN308">
        <v>0</v>
      </c>
      <c r="BO308" t="s">
        <v>3</v>
      </c>
      <c r="BP308">
        <v>0</v>
      </c>
      <c r="BQ308">
        <v>2</v>
      </c>
      <c r="BR308">
        <v>0</v>
      </c>
      <c r="BS308">
        <v>6.13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128</v>
      </c>
      <c r="CA308">
        <v>83</v>
      </c>
      <c r="CF308">
        <v>0</v>
      </c>
      <c r="CG308">
        <v>0</v>
      </c>
      <c r="CM308">
        <v>0</v>
      </c>
      <c r="CN308" t="s">
        <v>1274</v>
      </c>
      <c r="CO308">
        <v>0</v>
      </c>
      <c r="CP308">
        <f t="shared" si="269"/>
        <v>1539.97</v>
      </c>
      <c r="CQ308">
        <f t="shared" si="270"/>
        <v>0</v>
      </c>
      <c r="CR308">
        <f t="shared" si="271"/>
        <v>120.5771</v>
      </c>
      <c r="CS308">
        <f t="shared" si="272"/>
        <v>9.1336999999999993</v>
      </c>
      <c r="CT308">
        <f t="shared" si="273"/>
        <v>649.41219999999998</v>
      </c>
      <c r="CU308">
        <f t="shared" si="274"/>
        <v>0</v>
      </c>
      <c r="CV308">
        <f t="shared" si="274"/>
        <v>12.42</v>
      </c>
      <c r="CW308">
        <f t="shared" si="274"/>
        <v>0.12</v>
      </c>
      <c r="CX308">
        <f t="shared" si="274"/>
        <v>0</v>
      </c>
      <c r="CY308">
        <f t="shared" si="275"/>
        <v>1514.6534999999997</v>
      </c>
      <c r="CZ308">
        <f t="shared" si="276"/>
        <v>935.13390000000004</v>
      </c>
      <c r="DC308" t="s">
        <v>3</v>
      </c>
      <c r="DD308" t="s">
        <v>3</v>
      </c>
      <c r="DE308" t="s">
        <v>53</v>
      </c>
      <c r="DF308" t="s">
        <v>53</v>
      </c>
      <c r="DG308" t="s">
        <v>54</v>
      </c>
      <c r="DH308" t="s">
        <v>3</v>
      </c>
      <c r="DI308" t="s">
        <v>54</v>
      </c>
      <c r="DJ308" t="s">
        <v>53</v>
      </c>
      <c r="DK308" t="s">
        <v>3</v>
      </c>
      <c r="DL308" t="s">
        <v>3</v>
      </c>
      <c r="DM308" t="s">
        <v>3</v>
      </c>
      <c r="DN308">
        <v>0</v>
      </c>
      <c r="DO308">
        <v>0</v>
      </c>
      <c r="DP308">
        <v>1</v>
      </c>
      <c r="DQ308">
        <v>1</v>
      </c>
      <c r="DU308">
        <v>1013</v>
      </c>
      <c r="DV308" t="s">
        <v>403</v>
      </c>
      <c r="DW308" t="s">
        <v>403</v>
      </c>
      <c r="DX308">
        <v>1</v>
      </c>
      <c r="EE308">
        <v>39174534</v>
      </c>
      <c r="EF308">
        <v>2</v>
      </c>
      <c r="EG308" t="s">
        <v>13</v>
      </c>
      <c r="EH308">
        <v>0</v>
      </c>
      <c r="EI308" t="s">
        <v>3</v>
      </c>
      <c r="EJ308">
        <v>1</v>
      </c>
      <c r="EK308">
        <v>20001</v>
      </c>
      <c r="EL308" t="s">
        <v>650</v>
      </c>
      <c r="EM308" t="s">
        <v>651</v>
      </c>
      <c r="EO308" t="s">
        <v>89</v>
      </c>
      <c r="EQ308">
        <v>0</v>
      </c>
      <c r="ER308">
        <v>89.88</v>
      </c>
      <c r="ES308">
        <v>0</v>
      </c>
      <c r="ET308">
        <v>13.11</v>
      </c>
      <c r="EU308">
        <v>0.99</v>
      </c>
      <c r="EV308">
        <v>76.77</v>
      </c>
      <c r="EW308">
        <v>9</v>
      </c>
      <c r="EX308">
        <v>0.08</v>
      </c>
      <c r="EY308">
        <v>0</v>
      </c>
      <c r="FQ308">
        <v>0</v>
      </c>
      <c r="FR308">
        <f t="shared" si="277"/>
        <v>0</v>
      </c>
      <c r="FS308">
        <v>0</v>
      </c>
      <c r="FT308" t="s">
        <v>29</v>
      </c>
      <c r="FU308" t="s">
        <v>30</v>
      </c>
      <c r="FX308">
        <v>115.2</v>
      </c>
      <c r="FY308">
        <v>70.55</v>
      </c>
      <c r="GA308" t="s">
        <v>3</v>
      </c>
      <c r="GD308">
        <v>0</v>
      </c>
      <c r="GF308">
        <v>-1768176583</v>
      </c>
      <c r="GG308">
        <v>1</v>
      </c>
      <c r="GH308">
        <v>1</v>
      </c>
      <c r="GI308">
        <v>4</v>
      </c>
      <c r="GJ308">
        <v>0</v>
      </c>
      <c r="GK308">
        <f>ROUND(R308*(R12)/100,2)</f>
        <v>0</v>
      </c>
      <c r="GL308">
        <f t="shared" si="278"/>
        <v>0</v>
      </c>
      <c r="GM308">
        <f t="shared" si="279"/>
        <v>3989.75</v>
      </c>
      <c r="GN308">
        <f t="shared" si="280"/>
        <v>3989.75</v>
      </c>
      <c r="GO308">
        <f t="shared" si="281"/>
        <v>0</v>
      </c>
      <c r="GP308">
        <f t="shared" si="282"/>
        <v>0</v>
      </c>
      <c r="GR308">
        <v>0</v>
      </c>
      <c r="GS308">
        <v>3</v>
      </c>
      <c r="GT308">
        <v>0</v>
      </c>
      <c r="GU308" t="s">
        <v>3</v>
      </c>
      <c r="GV308">
        <f t="shared" si="283"/>
        <v>0</v>
      </c>
      <c r="GW308">
        <v>1</v>
      </c>
      <c r="GX308">
        <f t="shared" si="284"/>
        <v>0</v>
      </c>
      <c r="HA308">
        <v>0</v>
      </c>
      <c r="HB308">
        <v>0</v>
      </c>
      <c r="IK308">
        <v>0</v>
      </c>
    </row>
    <row r="309" spans="1:245" x14ac:dyDescent="0.2">
      <c r="A309">
        <v>18</v>
      </c>
      <c r="B309">
        <v>1</v>
      </c>
      <c r="C309">
        <v>512</v>
      </c>
      <c r="E309" t="s">
        <v>663</v>
      </c>
      <c r="F309" t="s">
        <v>664</v>
      </c>
      <c r="G309" t="s">
        <v>665</v>
      </c>
      <c r="H309" t="s">
        <v>415</v>
      </c>
      <c r="I309">
        <f>I308*J309</f>
        <v>2</v>
      </c>
      <c r="J309">
        <v>1</v>
      </c>
      <c r="O309">
        <f t="shared" si="255"/>
        <v>28243.85</v>
      </c>
      <c r="P309">
        <f t="shared" si="256"/>
        <v>28243.85</v>
      </c>
      <c r="Q309">
        <f t="shared" si="257"/>
        <v>0</v>
      </c>
      <c r="R309">
        <f t="shared" si="258"/>
        <v>0</v>
      </c>
      <c r="S309">
        <f t="shared" si="259"/>
        <v>0</v>
      </c>
      <c r="T309">
        <f t="shared" si="260"/>
        <v>0</v>
      </c>
      <c r="U309">
        <f t="shared" si="261"/>
        <v>0</v>
      </c>
      <c r="V309">
        <f t="shared" si="262"/>
        <v>0</v>
      </c>
      <c r="W309">
        <f t="shared" si="263"/>
        <v>0</v>
      </c>
      <c r="X309">
        <f t="shared" si="264"/>
        <v>0</v>
      </c>
      <c r="Y309">
        <f t="shared" si="264"/>
        <v>0</v>
      </c>
      <c r="AA309">
        <v>39476960</v>
      </c>
      <c r="AB309">
        <f t="shared" si="265"/>
        <v>2303.7399999999998</v>
      </c>
      <c r="AC309">
        <f t="shared" si="266"/>
        <v>2303.7399999999998</v>
      </c>
      <c r="AD309">
        <f>ROUND((((ET309)-(EU309))+AE309),2)</f>
        <v>0</v>
      </c>
      <c r="AE309">
        <f t="shared" ref="AE309:AF311" si="285">ROUND((EU309),2)</f>
        <v>0</v>
      </c>
      <c r="AF309">
        <f t="shared" si="285"/>
        <v>0</v>
      </c>
      <c r="AG309">
        <f t="shared" si="267"/>
        <v>0</v>
      </c>
      <c r="AH309">
        <f t="shared" ref="AH309:AI311" si="286">(EW309)</f>
        <v>0</v>
      </c>
      <c r="AI309">
        <f t="shared" si="286"/>
        <v>0</v>
      </c>
      <c r="AJ309">
        <f t="shared" si="268"/>
        <v>0</v>
      </c>
      <c r="AK309">
        <v>2303.7399999999998</v>
      </c>
      <c r="AL309">
        <v>2303.7399999999998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115</v>
      </c>
      <c r="AU309">
        <v>71</v>
      </c>
      <c r="AV309">
        <v>1</v>
      </c>
      <c r="AW309">
        <v>1</v>
      </c>
      <c r="AZ309">
        <v>6.13</v>
      </c>
      <c r="BA309">
        <v>1</v>
      </c>
      <c r="BB309">
        <v>1</v>
      </c>
      <c r="BC309">
        <v>6.13</v>
      </c>
      <c r="BD309" t="s">
        <v>3</v>
      </c>
      <c r="BE309" t="s">
        <v>3</v>
      </c>
      <c r="BF309" t="s">
        <v>3</v>
      </c>
      <c r="BG309" t="s">
        <v>3</v>
      </c>
      <c r="BH309">
        <v>3</v>
      </c>
      <c r="BI309">
        <v>1</v>
      </c>
      <c r="BJ309" t="s">
        <v>666</v>
      </c>
      <c r="BM309">
        <v>20001</v>
      </c>
      <c r="BN309">
        <v>0</v>
      </c>
      <c r="BO309" t="s">
        <v>3</v>
      </c>
      <c r="BP309">
        <v>0</v>
      </c>
      <c r="BQ309">
        <v>2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128</v>
      </c>
      <c r="CA309">
        <v>83</v>
      </c>
      <c r="CF309">
        <v>0</v>
      </c>
      <c r="CG309">
        <v>0</v>
      </c>
      <c r="CM309">
        <v>0</v>
      </c>
      <c r="CN309" t="s">
        <v>3</v>
      </c>
      <c r="CO309">
        <v>0</v>
      </c>
      <c r="CP309">
        <f t="shared" si="269"/>
        <v>28243.85</v>
      </c>
      <c r="CQ309">
        <f t="shared" si="270"/>
        <v>14121.926199999998</v>
      </c>
      <c r="CR309">
        <f t="shared" si="271"/>
        <v>0</v>
      </c>
      <c r="CS309">
        <f t="shared" si="272"/>
        <v>0</v>
      </c>
      <c r="CT309">
        <f t="shared" si="273"/>
        <v>0</v>
      </c>
      <c r="CU309">
        <f t="shared" si="274"/>
        <v>0</v>
      </c>
      <c r="CV309">
        <f t="shared" si="274"/>
        <v>0</v>
      </c>
      <c r="CW309">
        <f t="shared" si="274"/>
        <v>0</v>
      </c>
      <c r="CX309">
        <f t="shared" si="274"/>
        <v>0</v>
      </c>
      <c r="CY309">
        <f t="shared" si="275"/>
        <v>0</v>
      </c>
      <c r="CZ309">
        <f t="shared" si="276"/>
        <v>0</v>
      </c>
      <c r="DC309" t="s">
        <v>3</v>
      </c>
      <c r="DD309" t="s">
        <v>3</v>
      </c>
      <c r="DE309" t="s">
        <v>3</v>
      </c>
      <c r="DF309" t="s">
        <v>3</v>
      </c>
      <c r="DG309" t="s">
        <v>3</v>
      </c>
      <c r="DH309" t="s">
        <v>3</v>
      </c>
      <c r="DI309" t="s">
        <v>3</v>
      </c>
      <c r="DJ309" t="s">
        <v>3</v>
      </c>
      <c r="DK309" t="s">
        <v>3</v>
      </c>
      <c r="DL309" t="s">
        <v>3</v>
      </c>
      <c r="DM309" t="s">
        <v>3</v>
      </c>
      <c r="DN309">
        <v>0</v>
      </c>
      <c r="DO309">
        <v>0</v>
      </c>
      <c r="DP309">
        <v>1</v>
      </c>
      <c r="DQ309">
        <v>1</v>
      </c>
      <c r="DU309">
        <v>1010</v>
      </c>
      <c r="DV309" t="s">
        <v>415</v>
      </c>
      <c r="DW309" t="s">
        <v>415</v>
      </c>
      <c r="DX309">
        <v>1</v>
      </c>
      <c r="EE309">
        <v>39174534</v>
      </c>
      <c r="EF309">
        <v>2</v>
      </c>
      <c r="EG309" t="s">
        <v>13</v>
      </c>
      <c r="EH309">
        <v>0</v>
      </c>
      <c r="EI309" t="s">
        <v>3</v>
      </c>
      <c r="EJ309">
        <v>1</v>
      </c>
      <c r="EK309">
        <v>20001</v>
      </c>
      <c r="EL309" t="s">
        <v>650</v>
      </c>
      <c r="EM309" t="s">
        <v>651</v>
      </c>
      <c r="EO309" t="s">
        <v>3</v>
      </c>
      <c r="EQ309">
        <v>0</v>
      </c>
      <c r="ER309">
        <v>2303.7399999999998</v>
      </c>
      <c r="ES309">
        <v>2303.7399999999998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277"/>
        <v>0</v>
      </c>
      <c r="FS309">
        <v>0</v>
      </c>
      <c r="FT309" t="s">
        <v>29</v>
      </c>
      <c r="FU309" t="s">
        <v>30</v>
      </c>
      <c r="FX309">
        <v>115.2</v>
      </c>
      <c r="FY309">
        <v>70.55</v>
      </c>
      <c r="GA309" t="s">
        <v>3</v>
      </c>
      <c r="GD309">
        <v>0</v>
      </c>
      <c r="GF309">
        <v>-1035438332</v>
      </c>
      <c r="GG309">
        <v>1</v>
      </c>
      <c r="GH309">
        <v>1</v>
      </c>
      <c r="GI309">
        <v>4</v>
      </c>
      <c r="GJ309">
        <v>0</v>
      </c>
      <c r="GK309">
        <f>ROUND(R309*(R12)/100,2)</f>
        <v>0</v>
      </c>
      <c r="GL309">
        <f t="shared" si="278"/>
        <v>0</v>
      </c>
      <c r="GM309">
        <f t="shared" si="279"/>
        <v>28243.85</v>
      </c>
      <c r="GN309">
        <f t="shared" si="280"/>
        <v>28243.85</v>
      </c>
      <c r="GO309">
        <f t="shared" si="281"/>
        <v>0</v>
      </c>
      <c r="GP309">
        <f t="shared" si="282"/>
        <v>0</v>
      </c>
      <c r="GR309">
        <v>0</v>
      </c>
      <c r="GS309">
        <v>3</v>
      </c>
      <c r="GT309">
        <v>0</v>
      </c>
      <c r="GU309" t="s">
        <v>3</v>
      </c>
      <c r="GV309">
        <f t="shared" si="283"/>
        <v>0</v>
      </c>
      <c r="GW309">
        <v>1</v>
      </c>
      <c r="GX309">
        <f t="shared" si="284"/>
        <v>0</v>
      </c>
      <c r="HA309">
        <v>0</v>
      </c>
      <c r="HB309">
        <v>0</v>
      </c>
      <c r="IK309">
        <v>0</v>
      </c>
    </row>
    <row r="310" spans="1:245" x14ac:dyDescent="0.2">
      <c r="A310">
        <v>18</v>
      </c>
      <c r="B310">
        <v>1</v>
      </c>
      <c r="C310">
        <v>511</v>
      </c>
      <c r="E310" t="s">
        <v>667</v>
      </c>
      <c r="F310" t="s">
        <v>668</v>
      </c>
      <c r="G310" t="s">
        <v>669</v>
      </c>
      <c r="H310" t="s">
        <v>34</v>
      </c>
      <c r="I310">
        <f>I308*J310</f>
        <v>2.8E-3</v>
      </c>
      <c r="J310">
        <v>1.4E-3</v>
      </c>
      <c r="O310">
        <f t="shared" si="255"/>
        <v>339.91</v>
      </c>
      <c r="P310">
        <f t="shared" si="256"/>
        <v>339.91</v>
      </c>
      <c r="Q310">
        <f t="shared" si="257"/>
        <v>0</v>
      </c>
      <c r="R310">
        <f t="shared" si="258"/>
        <v>0</v>
      </c>
      <c r="S310">
        <f t="shared" si="259"/>
        <v>0</v>
      </c>
      <c r="T310">
        <f t="shared" si="260"/>
        <v>0</v>
      </c>
      <c r="U310">
        <f t="shared" si="261"/>
        <v>0</v>
      </c>
      <c r="V310">
        <f t="shared" si="262"/>
        <v>0</v>
      </c>
      <c r="W310">
        <f t="shared" si="263"/>
        <v>0</v>
      </c>
      <c r="X310">
        <f t="shared" si="264"/>
        <v>0</v>
      </c>
      <c r="Y310">
        <f t="shared" si="264"/>
        <v>0</v>
      </c>
      <c r="AA310">
        <v>39476960</v>
      </c>
      <c r="AB310">
        <f t="shared" si="265"/>
        <v>19803.650000000001</v>
      </c>
      <c r="AC310">
        <f t="shared" si="266"/>
        <v>19803.650000000001</v>
      </c>
      <c r="AD310">
        <f>ROUND((((ET310)-(EU310))+AE310),2)</f>
        <v>0</v>
      </c>
      <c r="AE310">
        <f t="shared" si="285"/>
        <v>0</v>
      </c>
      <c r="AF310">
        <f t="shared" si="285"/>
        <v>0</v>
      </c>
      <c r="AG310">
        <f t="shared" si="267"/>
        <v>0</v>
      </c>
      <c r="AH310">
        <f t="shared" si="286"/>
        <v>0</v>
      </c>
      <c r="AI310">
        <f t="shared" si="286"/>
        <v>0</v>
      </c>
      <c r="AJ310">
        <f t="shared" si="268"/>
        <v>0</v>
      </c>
      <c r="AK310">
        <v>19803.650000000001</v>
      </c>
      <c r="AL310">
        <v>19803.650000000001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115</v>
      </c>
      <c r="AU310">
        <v>71</v>
      </c>
      <c r="AV310">
        <v>1</v>
      </c>
      <c r="AW310">
        <v>1</v>
      </c>
      <c r="AZ310">
        <v>6.13</v>
      </c>
      <c r="BA310">
        <v>1</v>
      </c>
      <c r="BB310">
        <v>1</v>
      </c>
      <c r="BC310">
        <v>6.13</v>
      </c>
      <c r="BD310" t="s">
        <v>3</v>
      </c>
      <c r="BE310" t="s">
        <v>3</v>
      </c>
      <c r="BF310" t="s">
        <v>3</v>
      </c>
      <c r="BG310" t="s">
        <v>3</v>
      </c>
      <c r="BH310">
        <v>3</v>
      </c>
      <c r="BI310">
        <v>1</v>
      </c>
      <c r="BJ310" t="s">
        <v>670</v>
      </c>
      <c r="BM310">
        <v>20001</v>
      </c>
      <c r="BN310">
        <v>0</v>
      </c>
      <c r="BO310" t="s">
        <v>3</v>
      </c>
      <c r="BP310">
        <v>0</v>
      </c>
      <c r="BQ310">
        <v>2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128</v>
      </c>
      <c r="CA310">
        <v>83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269"/>
        <v>339.91</v>
      </c>
      <c r="CQ310">
        <f t="shared" si="270"/>
        <v>121396.37450000001</v>
      </c>
      <c r="CR310">
        <f t="shared" si="271"/>
        <v>0</v>
      </c>
      <c r="CS310">
        <f t="shared" si="272"/>
        <v>0</v>
      </c>
      <c r="CT310">
        <f t="shared" si="273"/>
        <v>0</v>
      </c>
      <c r="CU310">
        <f t="shared" si="274"/>
        <v>0</v>
      </c>
      <c r="CV310">
        <f t="shared" si="274"/>
        <v>0</v>
      </c>
      <c r="CW310">
        <f t="shared" si="274"/>
        <v>0</v>
      </c>
      <c r="CX310">
        <f t="shared" si="274"/>
        <v>0</v>
      </c>
      <c r="CY310">
        <f t="shared" si="275"/>
        <v>0</v>
      </c>
      <c r="CZ310">
        <f t="shared" si="276"/>
        <v>0</v>
      </c>
      <c r="DC310" t="s">
        <v>3</v>
      </c>
      <c r="DD310" t="s">
        <v>3</v>
      </c>
      <c r="DE310" t="s">
        <v>3</v>
      </c>
      <c r="DF310" t="s">
        <v>3</v>
      </c>
      <c r="DG310" t="s">
        <v>3</v>
      </c>
      <c r="DH310" t="s">
        <v>3</v>
      </c>
      <c r="DI310" t="s">
        <v>3</v>
      </c>
      <c r="DJ310" t="s">
        <v>3</v>
      </c>
      <c r="DK310" t="s">
        <v>3</v>
      </c>
      <c r="DL310" t="s">
        <v>3</v>
      </c>
      <c r="DM310" t="s">
        <v>3</v>
      </c>
      <c r="DN310">
        <v>0</v>
      </c>
      <c r="DO310">
        <v>0</v>
      </c>
      <c r="DP310">
        <v>1</v>
      </c>
      <c r="DQ310">
        <v>1</v>
      </c>
      <c r="DU310">
        <v>1009</v>
      </c>
      <c r="DV310" t="s">
        <v>34</v>
      </c>
      <c r="DW310" t="s">
        <v>34</v>
      </c>
      <c r="DX310">
        <v>1000</v>
      </c>
      <c r="EE310">
        <v>39174534</v>
      </c>
      <c r="EF310">
        <v>2</v>
      </c>
      <c r="EG310" t="s">
        <v>13</v>
      </c>
      <c r="EH310">
        <v>0</v>
      </c>
      <c r="EI310" t="s">
        <v>3</v>
      </c>
      <c r="EJ310">
        <v>1</v>
      </c>
      <c r="EK310">
        <v>20001</v>
      </c>
      <c r="EL310" t="s">
        <v>650</v>
      </c>
      <c r="EM310" t="s">
        <v>651</v>
      </c>
      <c r="EO310" t="s">
        <v>3</v>
      </c>
      <c r="EQ310">
        <v>0</v>
      </c>
      <c r="ER310">
        <v>19803.650000000001</v>
      </c>
      <c r="ES310">
        <v>19803.650000000001</v>
      </c>
      <c r="ET310">
        <v>0</v>
      </c>
      <c r="EU310">
        <v>0</v>
      </c>
      <c r="EV310">
        <v>0</v>
      </c>
      <c r="EW310">
        <v>0</v>
      </c>
      <c r="EX310">
        <v>0</v>
      </c>
      <c r="FQ310">
        <v>0</v>
      </c>
      <c r="FR310">
        <f t="shared" si="277"/>
        <v>0</v>
      </c>
      <c r="FS310">
        <v>0</v>
      </c>
      <c r="FT310" t="s">
        <v>29</v>
      </c>
      <c r="FU310" t="s">
        <v>30</v>
      </c>
      <c r="FX310">
        <v>115.2</v>
      </c>
      <c r="FY310">
        <v>70.55</v>
      </c>
      <c r="GA310" t="s">
        <v>3</v>
      </c>
      <c r="GD310">
        <v>0</v>
      </c>
      <c r="GF310">
        <v>-659141064</v>
      </c>
      <c r="GG310">
        <v>1</v>
      </c>
      <c r="GH310">
        <v>1</v>
      </c>
      <c r="GI310">
        <v>4</v>
      </c>
      <c r="GJ310">
        <v>0</v>
      </c>
      <c r="GK310">
        <f>ROUND(R310*(R12)/100,2)</f>
        <v>0</v>
      </c>
      <c r="GL310">
        <f t="shared" si="278"/>
        <v>0</v>
      </c>
      <c r="GM310">
        <f t="shared" si="279"/>
        <v>339.91</v>
      </c>
      <c r="GN310">
        <f t="shared" si="280"/>
        <v>339.91</v>
      </c>
      <c r="GO310">
        <f t="shared" si="281"/>
        <v>0</v>
      </c>
      <c r="GP310">
        <f t="shared" si="282"/>
        <v>0</v>
      </c>
      <c r="GR310">
        <v>0</v>
      </c>
      <c r="GS310">
        <v>3</v>
      </c>
      <c r="GT310">
        <v>0</v>
      </c>
      <c r="GU310" t="s">
        <v>3</v>
      </c>
      <c r="GV310">
        <f t="shared" si="283"/>
        <v>0</v>
      </c>
      <c r="GW310">
        <v>1</v>
      </c>
      <c r="GX310">
        <f t="shared" si="284"/>
        <v>0</v>
      </c>
      <c r="HA310">
        <v>0</v>
      </c>
      <c r="HB310">
        <v>0</v>
      </c>
      <c r="IK310">
        <v>0</v>
      </c>
    </row>
    <row r="311" spans="1:245" x14ac:dyDescent="0.2">
      <c r="A311">
        <v>18</v>
      </c>
      <c r="B311">
        <v>1</v>
      </c>
      <c r="C311">
        <v>510</v>
      </c>
      <c r="E311" t="s">
        <v>671</v>
      </c>
      <c r="F311" t="s">
        <v>672</v>
      </c>
      <c r="G311" t="s">
        <v>673</v>
      </c>
      <c r="H311" t="s">
        <v>34</v>
      </c>
      <c r="I311">
        <f>I308*J311</f>
        <v>2.8E-3</v>
      </c>
      <c r="J311">
        <v>1.4E-3</v>
      </c>
      <c r="O311">
        <f t="shared" si="255"/>
        <v>0</v>
      </c>
      <c r="P311">
        <f t="shared" si="256"/>
        <v>0</v>
      </c>
      <c r="Q311">
        <f t="shared" si="257"/>
        <v>0</v>
      </c>
      <c r="R311">
        <f t="shared" si="258"/>
        <v>0</v>
      </c>
      <c r="S311">
        <f t="shared" si="259"/>
        <v>0</v>
      </c>
      <c r="T311">
        <f t="shared" si="260"/>
        <v>0</v>
      </c>
      <c r="U311">
        <f t="shared" si="261"/>
        <v>0</v>
      </c>
      <c r="V311">
        <f t="shared" si="262"/>
        <v>0</v>
      </c>
      <c r="W311">
        <f t="shared" si="263"/>
        <v>0</v>
      </c>
      <c r="X311">
        <f t="shared" si="264"/>
        <v>0</v>
      </c>
      <c r="Y311">
        <f t="shared" si="264"/>
        <v>0</v>
      </c>
      <c r="AA311">
        <v>39476960</v>
      </c>
      <c r="AB311">
        <f t="shared" si="265"/>
        <v>0</v>
      </c>
      <c r="AC311">
        <f t="shared" si="266"/>
        <v>0</v>
      </c>
      <c r="AD311">
        <f>ROUND((((ET311)-(EU311))+AE311),2)</f>
        <v>0</v>
      </c>
      <c r="AE311">
        <f t="shared" si="285"/>
        <v>0</v>
      </c>
      <c r="AF311">
        <f t="shared" si="285"/>
        <v>0</v>
      </c>
      <c r="AG311">
        <f t="shared" si="267"/>
        <v>0</v>
      </c>
      <c r="AH311">
        <f t="shared" si="286"/>
        <v>0</v>
      </c>
      <c r="AI311">
        <f t="shared" si="286"/>
        <v>0</v>
      </c>
      <c r="AJ311">
        <f t="shared" si="268"/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115</v>
      </c>
      <c r="AU311">
        <v>71</v>
      </c>
      <c r="AV311">
        <v>1</v>
      </c>
      <c r="AW311">
        <v>1</v>
      </c>
      <c r="AZ311">
        <v>6.13</v>
      </c>
      <c r="BA311">
        <v>1</v>
      </c>
      <c r="BB311">
        <v>1</v>
      </c>
      <c r="BC311">
        <v>6.13</v>
      </c>
      <c r="BD311" t="s">
        <v>3</v>
      </c>
      <c r="BE311" t="s">
        <v>3</v>
      </c>
      <c r="BF311" t="s">
        <v>3</v>
      </c>
      <c r="BG311" t="s">
        <v>3</v>
      </c>
      <c r="BH311">
        <v>3</v>
      </c>
      <c r="BI311">
        <v>1</v>
      </c>
      <c r="BJ311" t="s">
        <v>3</v>
      </c>
      <c r="BM311">
        <v>20001</v>
      </c>
      <c r="BN311">
        <v>0</v>
      </c>
      <c r="BO311" t="s">
        <v>3</v>
      </c>
      <c r="BP311">
        <v>0</v>
      </c>
      <c r="BQ311">
        <v>2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128</v>
      </c>
      <c r="CA311">
        <v>83</v>
      </c>
      <c r="CF311">
        <v>0</v>
      </c>
      <c r="CG311">
        <v>0</v>
      </c>
      <c r="CM311">
        <v>0</v>
      </c>
      <c r="CN311" t="s">
        <v>3</v>
      </c>
      <c r="CO311">
        <v>0</v>
      </c>
      <c r="CP311">
        <f t="shared" si="269"/>
        <v>0</v>
      </c>
      <c r="CQ311">
        <f t="shared" si="270"/>
        <v>0</v>
      </c>
      <c r="CR311">
        <f t="shared" si="271"/>
        <v>0</v>
      </c>
      <c r="CS311">
        <f t="shared" si="272"/>
        <v>0</v>
      </c>
      <c r="CT311">
        <f t="shared" si="273"/>
        <v>0</v>
      </c>
      <c r="CU311">
        <f t="shared" si="274"/>
        <v>0</v>
      </c>
      <c r="CV311">
        <f t="shared" si="274"/>
        <v>0</v>
      </c>
      <c r="CW311">
        <f t="shared" si="274"/>
        <v>0</v>
      </c>
      <c r="CX311">
        <f t="shared" si="274"/>
        <v>0</v>
      </c>
      <c r="CY311">
        <f t="shared" si="275"/>
        <v>0</v>
      </c>
      <c r="CZ311">
        <f t="shared" si="276"/>
        <v>0</v>
      </c>
      <c r="DC311" t="s">
        <v>3</v>
      </c>
      <c r="DD311" t="s">
        <v>3</v>
      </c>
      <c r="DE311" t="s">
        <v>3</v>
      </c>
      <c r="DF311" t="s">
        <v>3</v>
      </c>
      <c r="DG311" t="s">
        <v>3</v>
      </c>
      <c r="DH311" t="s">
        <v>3</v>
      </c>
      <c r="DI311" t="s">
        <v>3</v>
      </c>
      <c r="DJ311" t="s">
        <v>3</v>
      </c>
      <c r="DK311" t="s">
        <v>3</v>
      </c>
      <c r="DL311" t="s">
        <v>3</v>
      </c>
      <c r="DM311" t="s">
        <v>3</v>
      </c>
      <c r="DN311">
        <v>0</v>
      </c>
      <c r="DO311">
        <v>0</v>
      </c>
      <c r="DP311">
        <v>1</v>
      </c>
      <c r="DQ311">
        <v>1</v>
      </c>
      <c r="DU311">
        <v>1009</v>
      </c>
      <c r="DV311" t="s">
        <v>34</v>
      </c>
      <c r="DW311" t="s">
        <v>34</v>
      </c>
      <c r="DX311">
        <v>1000</v>
      </c>
      <c r="EE311">
        <v>39174534</v>
      </c>
      <c r="EF311">
        <v>2</v>
      </c>
      <c r="EG311" t="s">
        <v>13</v>
      </c>
      <c r="EH311">
        <v>0</v>
      </c>
      <c r="EI311" t="s">
        <v>3</v>
      </c>
      <c r="EJ311">
        <v>1</v>
      </c>
      <c r="EK311">
        <v>20001</v>
      </c>
      <c r="EL311" t="s">
        <v>650</v>
      </c>
      <c r="EM311" t="s">
        <v>651</v>
      </c>
      <c r="EO311" t="s">
        <v>3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FQ311">
        <v>0</v>
      </c>
      <c r="FR311">
        <f t="shared" si="277"/>
        <v>0</v>
      </c>
      <c r="FS311">
        <v>0</v>
      </c>
      <c r="FT311" t="s">
        <v>29</v>
      </c>
      <c r="FU311" t="s">
        <v>30</v>
      </c>
      <c r="FX311">
        <v>115.2</v>
      </c>
      <c r="FY311">
        <v>70.55</v>
      </c>
      <c r="GA311" t="s">
        <v>3</v>
      </c>
      <c r="GD311">
        <v>0</v>
      </c>
      <c r="GF311">
        <v>1360257570</v>
      </c>
      <c r="GG311">
        <v>1</v>
      </c>
      <c r="GH311">
        <v>1</v>
      </c>
      <c r="GI311">
        <v>4</v>
      </c>
      <c r="GJ311">
        <v>0</v>
      </c>
      <c r="GK311">
        <f>ROUND(R311*(R12)/100,2)</f>
        <v>0</v>
      </c>
      <c r="GL311">
        <f t="shared" si="278"/>
        <v>0</v>
      </c>
      <c r="GM311">
        <f t="shared" si="279"/>
        <v>0</v>
      </c>
      <c r="GN311">
        <f t="shared" si="280"/>
        <v>0</v>
      </c>
      <c r="GO311">
        <f t="shared" si="281"/>
        <v>0</v>
      </c>
      <c r="GP311">
        <f t="shared" si="282"/>
        <v>0</v>
      </c>
      <c r="GR311">
        <v>0</v>
      </c>
      <c r="GS311">
        <v>3</v>
      </c>
      <c r="GT311">
        <v>0</v>
      </c>
      <c r="GU311" t="s">
        <v>3</v>
      </c>
      <c r="GV311">
        <f t="shared" si="283"/>
        <v>0</v>
      </c>
      <c r="GW311">
        <v>1</v>
      </c>
      <c r="GX311">
        <f t="shared" si="284"/>
        <v>0</v>
      </c>
      <c r="HA311">
        <v>0</v>
      </c>
      <c r="HB311">
        <v>0</v>
      </c>
      <c r="IK311">
        <v>0</v>
      </c>
    </row>
    <row r="313" spans="1:245" x14ac:dyDescent="0.2">
      <c r="A313" s="2">
        <v>51</v>
      </c>
      <c r="B313" s="2">
        <f>B301</f>
        <v>1</v>
      </c>
      <c r="C313" s="2">
        <f>A301</f>
        <v>4</v>
      </c>
      <c r="D313" s="2">
        <f>ROW(A301)</f>
        <v>301</v>
      </c>
      <c r="E313" s="2"/>
      <c r="F313" s="2" t="str">
        <f>IF(F301&lt;&gt;"",F301,"")</f>
        <v>Новый раздел</v>
      </c>
      <c r="G313" s="2" t="str">
        <f>IF(G301&lt;&gt;"",G301,"")</f>
        <v>Система вентиляции и кондиционирования</v>
      </c>
      <c r="H313" s="2">
        <v>0</v>
      </c>
      <c r="I313" s="2"/>
      <c r="J313" s="2"/>
      <c r="K313" s="2"/>
      <c r="L313" s="2"/>
      <c r="M313" s="2"/>
      <c r="N313" s="2"/>
      <c r="O313" s="2">
        <f t="shared" ref="O313:T313" si="287">ROUND(AB313,2)</f>
        <v>31650.959999999999</v>
      </c>
      <c r="P313" s="2">
        <f t="shared" si="287"/>
        <v>29859.29</v>
      </c>
      <c r="Q313" s="2">
        <f t="shared" si="287"/>
        <v>271.19</v>
      </c>
      <c r="R313" s="2">
        <f t="shared" si="287"/>
        <v>20.48</v>
      </c>
      <c r="S313" s="2">
        <f t="shared" si="287"/>
        <v>1520.48</v>
      </c>
      <c r="T313" s="2">
        <f t="shared" si="287"/>
        <v>0</v>
      </c>
      <c r="U313" s="2">
        <f>AH313</f>
        <v>28.869599999999998</v>
      </c>
      <c r="V313" s="2">
        <f>AI313</f>
        <v>0.27</v>
      </c>
      <c r="W313" s="2">
        <f>ROUND(AJ313,2)</f>
        <v>0</v>
      </c>
      <c r="X313" s="2">
        <f>ROUND(AK313,2)</f>
        <v>1772.1</v>
      </c>
      <c r="Y313" s="2">
        <f>ROUND(AL313,2)</f>
        <v>1094.08</v>
      </c>
      <c r="Z313" s="2"/>
      <c r="AA313" s="2"/>
      <c r="AB313" s="2">
        <f>ROUND(SUMIF(AA305:AA311,"=39476960",O305:O311),2)</f>
        <v>31650.959999999999</v>
      </c>
      <c r="AC313" s="2">
        <f>ROUND(SUMIF(AA305:AA311,"=39476960",P305:P311),2)</f>
        <v>29859.29</v>
      </c>
      <c r="AD313" s="2">
        <f>ROUND(SUMIF(AA305:AA311,"=39476960",Q305:Q311),2)</f>
        <v>271.19</v>
      </c>
      <c r="AE313" s="2">
        <f>ROUND(SUMIF(AA305:AA311,"=39476960",R305:R311),2)</f>
        <v>20.48</v>
      </c>
      <c r="AF313" s="2">
        <f>ROUND(SUMIF(AA305:AA311,"=39476960",S305:S311),2)</f>
        <v>1520.48</v>
      </c>
      <c r="AG313" s="2">
        <f>ROUND(SUMIF(AA305:AA311,"=39476960",T305:T311),2)</f>
        <v>0</v>
      </c>
      <c r="AH313" s="2">
        <f>SUMIF(AA305:AA311,"=39476960",U305:U311)</f>
        <v>28.869599999999998</v>
      </c>
      <c r="AI313" s="2">
        <f>SUMIF(AA305:AA311,"=39476960",V305:V311)</f>
        <v>0.27</v>
      </c>
      <c r="AJ313" s="2">
        <f>ROUND(SUMIF(AA305:AA311,"=39476960",W305:W311),2)</f>
        <v>0</v>
      </c>
      <c r="AK313" s="2">
        <f>ROUND(SUMIF(AA305:AA311,"=39476960",X305:X311),2)</f>
        <v>1772.1</v>
      </c>
      <c r="AL313" s="2">
        <f>ROUND(SUMIF(AA305:AA311,"=39476960",Y305:Y311),2)</f>
        <v>1094.08</v>
      </c>
      <c r="AM313" s="2"/>
      <c r="AN313" s="2"/>
      <c r="AO313" s="2">
        <f t="shared" ref="AO313:BC313" si="288">ROUND(BX313,2)</f>
        <v>0</v>
      </c>
      <c r="AP313" s="2">
        <f t="shared" si="288"/>
        <v>0</v>
      </c>
      <c r="AQ313" s="2">
        <f t="shared" si="288"/>
        <v>0</v>
      </c>
      <c r="AR313" s="2">
        <f t="shared" si="288"/>
        <v>34517.14</v>
      </c>
      <c r="AS313" s="2">
        <f t="shared" si="288"/>
        <v>34517.14</v>
      </c>
      <c r="AT313" s="2">
        <f t="shared" si="288"/>
        <v>0</v>
      </c>
      <c r="AU313" s="2">
        <f t="shared" si="288"/>
        <v>0</v>
      </c>
      <c r="AV313" s="2">
        <f t="shared" si="288"/>
        <v>29859.29</v>
      </c>
      <c r="AW313" s="2">
        <f t="shared" si="288"/>
        <v>29859.29</v>
      </c>
      <c r="AX313" s="2">
        <f t="shared" si="288"/>
        <v>0</v>
      </c>
      <c r="AY313" s="2">
        <f t="shared" si="288"/>
        <v>29859.29</v>
      </c>
      <c r="AZ313" s="2">
        <f t="shared" si="288"/>
        <v>0</v>
      </c>
      <c r="BA313" s="2">
        <f t="shared" si="288"/>
        <v>0</v>
      </c>
      <c r="BB313" s="2">
        <f t="shared" si="288"/>
        <v>0</v>
      </c>
      <c r="BC313" s="2">
        <f t="shared" si="288"/>
        <v>0</v>
      </c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>
        <f>ROUND(SUMIF(AA305:AA311,"=39476960",FQ305:FQ311),2)</f>
        <v>0</v>
      </c>
      <c r="BY313" s="2">
        <f>ROUND(SUMIF(AA305:AA311,"=39476960",FR305:FR311),2)</f>
        <v>0</v>
      </c>
      <c r="BZ313" s="2">
        <f>ROUND(SUMIF(AA305:AA311,"=39476960",GL305:GL311),2)</f>
        <v>0</v>
      </c>
      <c r="CA313" s="2">
        <f>ROUND(SUMIF(AA305:AA311,"=39476960",GM305:GM311),2)</f>
        <v>34517.14</v>
      </c>
      <c r="CB313" s="2">
        <f>ROUND(SUMIF(AA305:AA311,"=39476960",GN305:GN311),2)</f>
        <v>34517.14</v>
      </c>
      <c r="CC313" s="2">
        <f>ROUND(SUMIF(AA305:AA311,"=39476960",GO305:GO311),2)</f>
        <v>0</v>
      </c>
      <c r="CD313" s="2">
        <f>ROUND(SUMIF(AA305:AA311,"=39476960",GP305:GP311),2)</f>
        <v>0</v>
      </c>
      <c r="CE313" s="2">
        <f>AC313-BX313</f>
        <v>29859.29</v>
      </c>
      <c r="CF313" s="2">
        <f>AC313-BY313</f>
        <v>29859.29</v>
      </c>
      <c r="CG313" s="2">
        <f>BX313-BZ313</f>
        <v>0</v>
      </c>
      <c r="CH313" s="2">
        <f>AC313-BX313-BY313+BZ313</f>
        <v>29859.29</v>
      </c>
      <c r="CI313" s="2">
        <f>BY313-BZ313</f>
        <v>0</v>
      </c>
      <c r="CJ313" s="2">
        <f>ROUND(SUMIF(AA305:AA311,"=39476960",GX305:GX311),2)</f>
        <v>0</v>
      </c>
      <c r="CK313" s="2">
        <f>ROUND(SUMIF(AA305:AA311,"=39476960",GY305:GY311),2)</f>
        <v>0</v>
      </c>
      <c r="CL313" s="2">
        <f>ROUND(SUMIF(AA305:AA311,"=39476960",GZ305:GZ311),2)</f>
        <v>0</v>
      </c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>
        <v>0</v>
      </c>
    </row>
    <row r="315" spans="1:245" x14ac:dyDescent="0.2">
      <c r="A315" s="4">
        <v>50</v>
      </c>
      <c r="B315" s="4">
        <v>0</v>
      </c>
      <c r="C315" s="4">
        <v>0</v>
      </c>
      <c r="D315" s="4">
        <v>1</v>
      </c>
      <c r="E315" s="4">
        <v>201</v>
      </c>
      <c r="F315" s="4">
        <f>ROUND(Source!O313,O315)</f>
        <v>31650.959999999999</v>
      </c>
      <c r="G315" s="4" t="s">
        <v>313</v>
      </c>
      <c r="H315" s="4" t="s">
        <v>314</v>
      </c>
      <c r="I315" s="4"/>
      <c r="J315" s="4"/>
      <c r="K315" s="4">
        <v>201</v>
      </c>
      <c r="L315" s="4">
        <v>1</v>
      </c>
      <c r="M315" s="4">
        <v>3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45" x14ac:dyDescent="0.2">
      <c r="A316" s="4">
        <v>50</v>
      </c>
      <c r="B316" s="4">
        <v>0</v>
      </c>
      <c r="C316" s="4">
        <v>0</v>
      </c>
      <c r="D316" s="4">
        <v>1</v>
      </c>
      <c r="E316" s="4">
        <v>202</v>
      </c>
      <c r="F316" s="4">
        <f>ROUND(Source!P313,O316)</f>
        <v>29859.29</v>
      </c>
      <c r="G316" s="4" t="s">
        <v>315</v>
      </c>
      <c r="H316" s="4" t="s">
        <v>316</v>
      </c>
      <c r="I316" s="4"/>
      <c r="J316" s="4"/>
      <c r="K316" s="4">
        <v>202</v>
      </c>
      <c r="L316" s="4">
        <v>2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45" x14ac:dyDescent="0.2">
      <c r="A317" s="4">
        <v>50</v>
      </c>
      <c r="B317" s="4">
        <v>0</v>
      </c>
      <c r="C317" s="4">
        <v>0</v>
      </c>
      <c r="D317" s="4">
        <v>1</v>
      </c>
      <c r="E317" s="4">
        <v>222</v>
      </c>
      <c r="F317" s="4">
        <f>ROUND(Source!AO313,O317)</f>
        <v>0</v>
      </c>
      <c r="G317" s="4" t="s">
        <v>317</v>
      </c>
      <c r="H317" s="4" t="s">
        <v>318</v>
      </c>
      <c r="I317" s="4"/>
      <c r="J317" s="4"/>
      <c r="K317" s="4">
        <v>222</v>
      </c>
      <c r="L317" s="4">
        <v>3</v>
      </c>
      <c r="M317" s="4">
        <v>3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45" x14ac:dyDescent="0.2">
      <c r="A318" s="4">
        <v>50</v>
      </c>
      <c r="B318" s="4">
        <v>0</v>
      </c>
      <c r="C318" s="4">
        <v>0</v>
      </c>
      <c r="D318" s="4">
        <v>1</v>
      </c>
      <c r="E318" s="4">
        <v>225</v>
      </c>
      <c r="F318" s="4">
        <f>ROUND(Source!AV313,O318)</f>
        <v>29859.29</v>
      </c>
      <c r="G318" s="4" t="s">
        <v>319</v>
      </c>
      <c r="H318" s="4" t="s">
        <v>320</v>
      </c>
      <c r="I318" s="4"/>
      <c r="J318" s="4"/>
      <c r="K318" s="4">
        <v>225</v>
      </c>
      <c r="L318" s="4">
        <v>4</v>
      </c>
      <c r="M318" s="4">
        <v>3</v>
      </c>
      <c r="N318" s="4" t="s">
        <v>3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45" x14ac:dyDescent="0.2">
      <c r="A319" s="4">
        <v>50</v>
      </c>
      <c r="B319" s="4">
        <v>0</v>
      </c>
      <c r="C319" s="4">
        <v>0</v>
      </c>
      <c r="D319" s="4">
        <v>1</v>
      </c>
      <c r="E319" s="4">
        <v>226</v>
      </c>
      <c r="F319" s="4">
        <f>ROUND(Source!AW313,O319)</f>
        <v>29859.29</v>
      </c>
      <c r="G319" s="4" t="s">
        <v>321</v>
      </c>
      <c r="H319" s="4" t="s">
        <v>322</v>
      </c>
      <c r="I319" s="4"/>
      <c r="J319" s="4"/>
      <c r="K319" s="4">
        <v>226</v>
      </c>
      <c r="L319" s="4">
        <v>5</v>
      </c>
      <c r="M319" s="4">
        <v>3</v>
      </c>
      <c r="N319" s="4" t="s">
        <v>3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45" x14ac:dyDescent="0.2">
      <c r="A320" s="4">
        <v>50</v>
      </c>
      <c r="B320" s="4">
        <v>0</v>
      </c>
      <c r="C320" s="4">
        <v>0</v>
      </c>
      <c r="D320" s="4">
        <v>1</v>
      </c>
      <c r="E320" s="4">
        <v>227</v>
      </c>
      <c r="F320" s="4">
        <f>ROUND(Source!AX313,O320)</f>
        <v>0</v>
      </c>
      <c r="G320" s="4" t="s">
        <v>323</v>
      </c>
      <c r="H320" s="4" t="s">
        <v>324</v>
      </c>
      <c r="I320" s="4"/>
      <c r="J320" s="4"/>
      <c r="K320" s="4">
        <v>227</v>
      </c>
      <c r="L320" s="4">
        <v>6</v>
      </c>
      <c r="M320" s="4">
        <v>3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228</v>
      </c>
      <c r="F321" s="4">
        <f>ROUND(Source!AY313,O321)</f>
        <v>29859.29</v>
      </c>
      <c r="G321" s="4" t="s">
        <v>325</v>
      </c>
      <c r="H321" s="4" t="s">
        <v>326</v>
      </c>
      <c r="I321" s="4"/>
      <c r="J321" s="4"/>
      <c r="K321" s="4">
        <v>228</v>
      </c>
      <c r="L321" s="4">
        <v>7</v>
      </c>
      <c r="M321" s="4">
        <v>3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216</v>
      </c>
      <c r="F322" s="4">
        <f>ROUND(Source!AP313,O322)</f>
        <v>0</v>
      </c>
      <c r="G322" s="4" t="s">
        <v>327</v>
      </c>
      <c r="H322" s="4" t="s">
        <v>328</v>
      </c>
      <c r="I322" s="4"/>
      <c r="J322" s="4"/>
      <c r="K322" s="4">
        <v>216</v>
      </c>
      <c r="L322" s="4">
        <v>8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223</v>
      </c>
      <c r="F323" s="4">
        <f>ROUND(Source!AQ313,O323)</f>
        <v>0</v>
      </c>
      <c r="G323" s="4" t="s">
        <v>329</v>
      </c>
      <c r="H323" s="4" t="s">
        <v>330</v>
      </c>
      <c r="I323" s="4"/>
      <c r="J323" s="4"/>
      <c r="K323" s="4">
        <v>223</v>
      </c>
      <c r="L323" s="4">
        <v>9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229</v>
      </c>
      <c r="F324" s="4">
        <f>ROUND(Source!AZ313,O324)</f>
        <v>0</v>
      </c>
      <c r="G324" s="4" t="s">
        <v>331</v>
      </c>
      <c r="H324" s="4" t="s">
        <v>332</v>
      </c>
      <c r="I324" s="4"/>
      <c r="J324" s="4"/>
      <c r="K324" s="4">
        <v>229</v>
      </c>
      <c r="L324" s="4">
        <v>10</v>
      </c>
      <c r="M324" s="4">
        <v>3</v>
      </c>
      <c r="N324" s="4" t="s">
        <v>3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203</v>
      </c>
      <c r="F325" s="4">
        <f>ROUND(Source!Q313,O325)</f>
        <v>271.19</v>
      </c>
      <c r="G325" s="4" t="s">
        <v>333</v>
      </c>
      <c r="H325" s="4" t="s">
        <v>334</v>
      </c>
      <c r="I325" s="4"/>
      <c r="J325" s="4"/>
      <c r="K325" s="4">
        <v>203</v>
      </c>
      <c r="L325" s="4">
        <v>11</v>
      </c>
      <c r="M325" s="4">
        <v>3</v>
      </c>
      <c r="N325" s="4" t="s">
        <v>3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231</v>
      </c>
      <c r="F326" s="4">
        <f>ROUND(Source!BB313,O326)</f>
        <v>0</v>
      </c>
      <c r="G326" s="4" t="s">
        <v>335</v>
      </c>
      <c r="H326" s="4" t="s">
        <v>336</v>
      </c>
      <c r="I326" s="4"/>
      <c r="J326" s="4"/>
      <c r="K326" s="4">
        <v>231</v>
      </c>
      <c r="L326" s="4">
        <v>12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204</v>
      </c>
      <c r="F327" s="4">
        <f>ROUND(Source!R313,O327)</f>
        <v>20.48</v>
      </c>
      <c r="G327" s="4" t="s">
        <v>337</v>
      </c>
      <c r="H327" s="4" t="s">
        <v>338</v>
      </c>
      <c r="I327" s="4"/>
      <c r="J327" s="4"/>
      <c r="K327" s="4">
        <v>204</v>
      </c>
      <c r="L327" s="4">
        <v>13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205</v>
      </c>
      <c r="F328" s="4">
        <f>ROUND(Source!S313,O328)</f>
        <v>1520.48</v>
      </c>
      <c r="G328" s="4" t="s">
        <v>339</v>
      </c>
      <c r="H328" s="4" t="s">
        <v>340</v>
      </c>
      <c r="I328" s="4"/>
      <c r="J328" s="4"/>
      <c r="K328" s="4">
        <v>205</v>
      </c>
      <c r="L328" s="4">
        <v>14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232</v>
      </c>
      <c r="F329" s="4">
        <f>ROUND(Source!BC313,O329)</f>
        <v>0</v>
      </c>
      <c r="G329" s="4" t="s">
        <v>341</v>
      </c>
      <c r="H329" s="4" t="s">
        <v>342</v>
      </c>
      <c r="I329" s="4"/>
      <c r="J329" s="4"/>
      <c r="K329" s="4">
        <v>232</v>
      </c>
      <c r="L329" s="4">
        <v>15</v>
      </c>
      <c r="M329" s="4">
        <v>3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214</v>
      </c>
      <c r="F330" s="4">
        <f>ROUND(Source!AS313,O330)</f>
        <v>34517.14</v>
      </c>
      <c r="G330" s="4" t="s">
        <v>343</v>
      </c>
      <c r="H330" s="4" t="s">
        <v>344</v>
      </c>
      <c r="I330" s="4"/>
      <c r="J330" s="4"/>
      <c r="K330" s="4">
        <v>214</v>
      </c>
      <c r="L330" s="4">
        <v>16</v>
      </c>
      <c r="M330" s="4">
        <v>3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215</v>
      </c>
      <c r="F331" s="4">
        <f>ROUND(Source!AT313,O331)</f>
        <v>0</v>
      </c>
      <c r="G331" s="4" t="s">
        <v>345</v>
      </c>
      <c r="H331" s="4" t="s">
        <v>346</v>
      </c>
      <c r="I331" s="4"/>
      <c r="J331" s="4"/>
      <c r="K331" s="4">
        <v>215</v>
      </c>
      <c r="L331" s="4">
        <v>17</v>
      </c>
      <c r="M331" s="4">
        <v>3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217</v>
      </c>
      <c r="F332" s="4">
        <f>ROUND(Source!AU313,O332)</f>
        <v>0</v>
      </c>
      <c r="G332" s="4" t="s">
        <v>347</v>
      </c>
      <c r="H332" s="4" t="s">
        <v>348</v>
      </c>
      <c r="I332" s="4"/>
      <c r="J332" s="4"/>
      <c r="K332" s="4">
        <v>217</v>
      </c>
      <c r="L332" s="4">
        <v>18</v>
      </c>
      <c r="M332" s="4">
        <v>3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0</v>
      </c>
      <c r="C333" s="4">
        <v>0</v>
      </c>
      <c r="D333" s="4">
        <v>1</v>
      </c>
      <c r="E333" s="4">
        <v>230</v>
      </c>
      <c r="F333" s="4">
        <f>ROUND(Source!BA313,O333)</f>
        <v>0</v>
      </c>
      <c r="G333" s="4" t="s">
        <v>349</v>
      </c>
      <c r="H333" s="4" t="s">
        <v>350</v>
      </c>
      <c r="I333" s="4"/>
      <c r="J333" s="4"/>
      <c r="K333" s="4">
        <v>230</v>
      </c>
      <c r="L333" s="4">
        <v>19</v>
      </c>
      <c r="M333" s="4">
        <v>3</v>
      </c>
      <c r="N333" s="4" t="s">
        <v>3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0</v>
      </c>
      <c r="C334" s="4">
        <v>0</v>
      </c>
      <c r="D334" s="4">
        <v>1</v>
      </c>
      <c r="E334" s="4">
        <v>206</v>
      </c>
      <c r="F334" s="4">
        <f>ROUND(Source!T313,O334)</f>
        <v>0</v>
      </c>
      <c r="G334" s="4" t="s">
        <v>351</v>
      </c>
      <c r="H334" s="4" t="s">
        <v>352</v>
      </c>
      <c r="I334" s="4"/>
      <c r="J334" s="4"/>
      <c r="K334" s="4">
        <v>206</v>
      </c>
      <c r="L334" s="4">
        <v>20</v>
      </c>
      <c r="M334" s="4">
        <v>3</v>
      </c>
      <c r="N334" s="4" t="s">
        <v>3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3" x14ac:dyDescent="0.2">
      <c r="A335" s="4">
        <v>50</v>
      </c>
      <c r="B335" s="4">
        <v>0</v>
      </c>
      <c r="C335" s="4">
        <v>0</v>
      </c>
      <c r="D335" s="4">
        <v>1</v>
      </c>
      <c r="E335" s="4">
        <v>207</v>
      </c>
      <c r="F335" s="4">
        <f>Source!U313</f>
        <v>28.869599999999998</v>
      </c>
      <c r="G335" s="4" t="s">
        <v>353</v>
      </c>
      <c r="H335" s="4" t="s">
        <v>354</v>
      </c>
      <c r="I335" s="4"/>
      <c r="J335" s="4"/>
      <c r="K335" s="4">
        <v>207</v>
      </c>
      <c r="L335" s="4">
        <v>21</v>
      </c>
      <c r="M335" s="4">
        <v>3</v>
      </c>
      <c r="N335" s="4" t="s">
        <v>3</v>
      </c>
      <c r="O335" s="4">
        <v>-1</v>
      </c>
      <c r="P335" s="4"/>
      <c r="Q335" s="4"/>
      <c r="R335" s="4"/>
      <c r="S335" s="4"/>
      <c r="T335" s="4"/>
      <c r="U335" s="4"/>
      <c r="V335" s="4"/>
      <c r="W335" s="4"/>
    </row>
    <row r="336" spans="1:23" x14ac:dyDescent="0.2">
      <c r="A336" s="4">
        <v>50</v>
      </c>
      <c r="B336" s="4">
        <v>0</v>
      </c>
      <c r="C336" s="4">
        <v>0</v>
      </c>
      <c r="D336" s="4">
        <v>1</v>
      </c>
      <c r="E336" s="4">
        <v>208</v>
      </c>
      <c r="F336" s="4">
        <f>Source!V313</f>
        <v>0.27</v>
      </c>
      <c r="G336" s="4" t="s">
        <v>355</v>
      </c>
      <c r="H336" s="4" t="s">
        <v>356</v>
      </c>
      <c r="I336" s="4"/>
      <c r="J336" s="4"/>
      <c r="K336" s="4">
        <v>208</v>
      </c>
      <c r="L336" s="4">
        <v>22</v>
      </c>
      <c r="M336" s="4">
        <v>3</v>
      </c>
      <c r="N336" s="4" t="s">
        <v>3</v>
      </c>
      <c r="O336" s="4">
        <v>-1</v>
      </c>
      <c r="P336" s="4"/>
      <c r="Q336" s="4"/>
      <c r="R336" s="4"/>
      <c r="S336" s="4"/>
      <c r="T336" s="4"/>
      <c r="U336" s="4"/>
      <c r="V336" s="4"/>
      <c r="W336" s="4"/>
    </row>
    <row r="337" spans="1:245" x14ac:dyDescent="0.2">
      <c r="A337" s="4">
        <v>50</v>
      </c>
      <c r="B337" s="4">
        <v>0</v>
      </c>
      <c r="C337" s="4">
        <v>0</v>
      </c>
      <c r="D337" s="4">
        <v>1</v>
      </c>
      <c r="E337" s="4">
        <v>209</v>
      </c>
      <c r="F337" s="4">
        <f>ROUND(Source!W313,O337)</f>
        <v>0</v>
      </c>
      <c r="G337" s="4" t="s">
        <v>357</v>
      </c>
      <c r="H337" s="4" t="s">
        <v>358</v>
      </c>
      <c r="I337" s="4"/>
      <c r="J337" s="4"/>
      <c r="K337" s="4">
        <v>209</v>
      </c>
      <c r="L337" s="4">
        <v>23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45" x14ac:dyDescent="0.2">
      <c r="A338" s="4">
        <v>50</v>
      </c>
      <c r="B338" s="4">
        <v>0</v>
      </c>
      <c r="C338" s="4">
        <v>0</v>
      </c>
      <c r="D338" s="4">
        <v>1</v>
      </c>
      <c r="E338" s="4">
        <v>210</v>
      </c>
      <c r="F338" s="4">
        <f>ROUND(Source!X313,O338)</f>
        <v>1772.1</v>
      </c>
      <c r="G338" s="4" t="s">
        <v>359</v>
      </c>
      <c r="H338" s="4" t="s">
        <v>360</v>
      </c>
      <c r="I338" s="4"/>
      <c r="J338" s="4"/>
      <c r="K338" s="4">
        <v>210</v>
      </c>
      <c r="L338" s="4">
        <v>24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45" x14ac:dyDescent="0.2">
      <c r="A339" s="4">
        <v>50</v>
      </c>
      <c r="B339" s="4">
        <v>0</v>
      </c>
      <c r="C339" s="4">
        <v>0</v>
      </c>
      <c r="D339" s="4">
        <v>1</v>
      </c>
      <c r="E339" s="4">
        <v>211</v>
      </c>
      <c r="F339" s="4">
        <f>ROUND(Source!Y313,O339)</f>
        <v>1094.08</v>
      </c>
      <c r="G339" s="4" t="s">
        <v>361</v>
      </c>
      <c r="H339" s="4" t="s">
        <v>362</v>
      </c>
      <c r="I339" s="4"/>
      <c r="J339" s="4"/>
      <c r="K339" s="4">
        <v>211</v>
      </c>
      <c r="L339" s="4">
        <v>25</v>
      </c>
      <c r="M339" s="4">
        <v>3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45" x14ac:dyDescent="0.2">
      <c r="A340" s="4">
        <v>50</v>
      </c>
      <c r="B340" s="4">
        <v>0</v>
      </c>
      <c r="C340" s="4">
        <v>0</v>
      </c>
      <c r="D340" s="4">
        <v>1</v>
      </c>
      <c r="E340" s="4">
        <v>224</v>
      </c>
      <c r="F340" s="4">
        <f>ROUND(Source!AR313,O340)</f>
        <v>34517.14</v>
      </c>
      <c r="G340" s="4" t="s">
        <v>363</v>
      </c>
      <c r="H340" s="4" t="s">
        <v>364</v>
      </c>
      <c r="I340" s="4"/>
      <c r="J340" s="4"/>
      <c r="K340" s="4">
        <v>224</v>
      </c>
      <c r="L340" s="4">
        <v>26</v>
      </c>
      <c r="M340" s="4">
        <v>3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2" spans="1:245" x14ac:dyDescent="0.2">
      <c r="A342" s="1">
        <v>4</v>
      </c>
      <c r="B342" s="1">
        <v>1</v>
      </c>
      <c r="C342" s="1"/>
      <c r="D342" s="1">
        <f>ROW(A358)</f>
        <v>358</v>
      </c>
      <c r="E342" s="1"/>
      <c r="F342" s="1" t="s">
        <v>12</v>
      </c>
      <c r="G342" s="1" t="s">
        <v>674</v>
      </c>
      <c r="H342" s="1" t="s">
        <v>3</v>
      </c>
      <c r="I342" s="1">
        <v>0</v>
      </c>
      <c r="J342" s="1"/>
      <c r="K342" s="1">
        <v>-1</v>
      </c>
      <c r="L342" s="1"/>
      <c r="M342" s="1"/>
      <c r="N342" s="1"/>
      <c r="O342" s="1"/>
      <c r="P342" s="1"/>
      <c r="Q342" s="1"/>
      <c r="R342" s="1"/>
      <c r="S342" s="1"/>
      <c r="T342" s="1"/>
      <c r="U342" s="1" t="s">
        <v>3</v>
      </c>
      <c r="V342" s="1">
        <v>0</v>
      </c>
      <c r="W342" s="1"/>
      <c r="X342" s="1"/>
      <c r="Y342" s="1"/>
      <c r="Z342" s="1"/>
      <c r="AA342" s="1"/>
      <c r="AB342" s="1" t="s">
        <v>3</v>
      </c>
      <c r="AC342" s="1" t="s">
        <v>3</v>
      </c>
      <c r="AD342" s="1" t="s">
        <v>3</v>
      </c>
      <c r="AE342" s="1" t="s">
        <v>3</v>
      </c>
      <c r="AF342" s="1" t="s">
        <v>3</v>
      </c>
      <c r="AG342" s="1" t="s">
        <v>3</v>
      </c>
      <c r="AH342" s="1"/>
      <c r="AI342" s="1"/>
      <c r="AJ342" s="1"/>
      <c r="AK342" s="1"/>
      <c r="AL342" s="1"/>
      <c r="AM342" s="1"/>
      <c r="AN342" s="1"/>
      <c r="AO342" s="1"/>
      <c r="AP342" s="1" t="s">
        <v>3</v>
      </c>
      <c r="AQ342" s="1" t="s">
        <v>3</v>
      </c>
      <c r="AR342" s="1" t="s">
        <v>3</v>
      </c>
      <c r="AS342" s="1"/>
      <c r="AT342" s="1"/>
      <c r="AU342" s="1"/>
      <c r="AV342" s="1"/>
      <c r="AW342" s="1"/>
      <c r="AX342" s="1"/>
      <c r="AY342" s="1"/>
      <c r="AZ342" s="1" t="s">
        <v>3</v>
      </c>
      <c r="BA342" s="1"/>
      <c r="BB342" s="1" t="s">
        <v>3</v>
      </c>
      <c r="BC342" s="1" t="s">
        <v>3</v>
      </c>
      <c r="BD342" s="1" t="s">
        <v>3</v>
      </c>
      <c r="BE342" s="1" t="s">
        <v>3</v>
      </c>
      <c r="BF342" s="1" t="s">
        <v>3</v>
      </c>
      <c r="BG342" s="1" t="s">
        <v>3</v>
      </c>
      <c r="BH342" s="1" t="s">
        <v>3</v>
      </c>
      <c r="BI342" s="1" t="s">
        <v>3</v>
      </c>
      <c r="BJ342" s="1" t="s">
        <v>3</v>
      </c>
      <c r="BK342" s="1" t="s">
        <v>3</v>
      </c>
      <c r="BL342" s="1" t="s">
        <v>3</v>
      </c>
      <c r="BM342" s="1" t="s">
        <v>3</v>
      </c>
      <c r="BN342" s="1" t="s">
        <v>3</v>
      </c>
      <c r="BO342" s="1" t="s">
        <v>3</v>
      </c>
      <c r="BP342" s="1" t="s">
        <v>3</v>
      </c>
      <c r="BQ342" s="1"/>
      <c r="BR342" s="1"/>
      <c r="BS342" s="1"/>
      <c r="BT342" s="1"/>
      <c r="BU342" s="1"/>
      <c r="BV342" s="1"/>
      <c r="BW342" s="1"/>
      <c r="BX342" s="1">
        <v>0</v>
      </c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>
        <v>0</v>
      </c>
    </row>
    <row r="344" spans="1:245" x14ac:dyDescent="0.2">
      <c r="A344" s="2">
        <v>52</v>
      </c>
      <c r="B344" s="2">
        <f t="shared" ref="B344:G344" si="289">B358</f>
        <v>1</v>
      </c>
      <c r="C344" s="2">
        <f t="shared" si="289"/>
        <v>4</v>
      </c>
      <c r="D344" s="2">
        <f t="shared" si="289"/>
        <v>342</v>
      </c>
      <c r="E344" s="2">
        <f t="shared" si="289"/>
        <v>0</v>
      </c>
      <c r="F344" s="2" t="str">
        <f t="shared" si="289"/>
        <v>Новый раздел</v>
      </c>
      <c r="G344" s="2" t="str">
        <f t="shared" si="289"/>
        <v>Система отопления</v>
      </c>
      <c r="H344" s="2"/>
      <c r="I344" s="2"/>
      <c r="J344" s="2"/>
      <c r="K344" s="2"/>
      <c r="L344" s="2"/>
      <c r="M344" s="2"/>
      <c r="N344" s="2"/>
      <c r="O344" s="2">
        <f t="shared" ref="O344:AT344" si="290">O358</f>
        <v>23211.84</v>
      </c>
      <c r="P344" s="2">
        <f t="shared" si="290"/>
        <v>16508.14</v>
      </c>
      <c r="Q344" s="2">
        <f t="shared" si="290"/>
        <v>382.15</v>
      </c>
      <c r="R344" s="2">
        <f t="shared" si="290"/>
        <v>80.95</v>
      </c>
      <c r="S344" s="2">
        <f t="shared" si="290"/>
        <v>6321.55</v>
      </c>
      <c r="T344" s="2">
        <f t="shared" si="290"/>
        <v>0</v>
      </c>
      <c r="U344" s="2">
        <f t="shared" si="290"/>
        <v>108.38293279999999</v>
      </c>
      <c r="V344" s="2">
        <f t="shared" si="290"/>
        <v>1.0692719999999998</v>
      </c>
      <c r="W344" s="2">
        <f t="shared" si="290"/>
        <v>0</v>
      </c>
      <c r="X344" s="2">
        <f t="shared" si="290"/>
        <v>7072.33</v>
      </c>
      <c r="Y344" s="2">
        <f t="shared" si="290"/>
        <v>4396.96</v>
      </c>
      <c r="Z344" s="2">
        <f t="shared" si="290"/>
        <v>0</v>
      </c>
      <c r="AA344" s="2">
        <f t="shared" si="290"/>
        <v>0</v>
      </c>
      <c r="AB344" s="2">
        <f t="shared" si="290"/>
        <v>23211.84</v>
      </c>
      <c r="AC344" s="2">
        <f t="shared" si="290"/>
        <v>16508.14</v>
      </c>
      <c r="AD344" s="2">
        <f t="shared" si="290"/>
        <v>382.15</v>
      </c>
      <c r="AE344" s="2">
        <f t="shared" si="290"/>
        <v>80.95</v>
      </c>
      <c r="AF344" s="2">
        <f t="shared" si="290"/>
        <v>6321.55</v>
      </c>
      <c r="AG344" s="2">
        <f t="shared" si="290"/>
        <v>0</v>
      </c>
      <c r="AH344" s="2">
        <f t="shared" si="290"/>
        <v>108.38293279999999</v>
      </c>
      <c r="AI344" s="2">
        <f t="shared" si="290"/>
        <v>1.0692719999999998</v>
      </c>
      <c r="AJ344" s="2">
        <f t="shared" si="290"/>
        <v>0</v>
      </c>
      <c r="AK344" s="2">
        <f t="shared" si="290"/>
        <v>7072.33</v>
      </c>
      <c r="AL344" s="2">
        <f t="shared" si="290"/>
        <v>4396.96</v>
      </c>
      <c r="AM344" s="2">
        <f t="shared" si="290"/>
        <v>0</v>
      </c>
      <c r="AN344" s="2">
        <f t="shared" si="290"/>
        <v>0</v>
      </c>
      <c r="AO344" s="2">
        <f t="shared" si="290"/>
        <v>0</v>
      </c>
      <c r="AP344" s="2">
        <f t="shared" si="290"/>
        <v>0</v>
      </c>
      <c r="AQ344" s="2">
        <f t="shared" si="290"/>
        <v>0</v>
      </c>
      <c r="AR344" s="2">
        <f t="shared" si="290"/>
        <v>34681.129999999997</v>
      </c>
      <c r="AS344" s="2">
        <f t="shared" si="290"/>
        <v>34681.129999999997</v>
      </c>
      <c r="AT344" s="2">
        <f t="shared" si="290"/>
        <v>0</v>
      </c>
      <c r="AU344" s="2">
        <f t="shared" ref="AU344:BZ344" si="291">AU358</f>
        <v>0</v>
      </c>
      <c r="AV344" s="2">
        <f t="shared" si="291"/>
        <v>16508.14</v>
      </c>
      <c r="AW344" s="2">
        <f t="shared" si="291"/>
        <v>16508.14</v>
      </c>
      <c r="AX344" s="2">
        <f t="shared" si="291"/>
        <v>0</v>
      </c>
      <c r="AY344" s="2">
        <f t="shared" si="291"/>
        <v>16508.14</v>
      </c>
      <c r="AZ344" s="2">
        <f t="shared" si="291"/>
        <v>0</v>
      </c>
      <c r="BA344" s="2">
        <f t="shared" si="291"/>
        <v>0</v>
      </c>
      <c r="BB344" s="2">
        <f t="shared" si="291"/>
        <v>0</v>
      </c>
      <c r="BC344" s="2">
        <f t="shared" si="291"/>
        <v>0</v>
      </c>
      <c r="BD344" s="2">
        <f t="shared" si="291"/>
        <v>0</v>
      </c>
      <c r="BE344" s="2">
        <f t="shared" si="291"/>
        <v>0</v>
      </c>
      <c r="BF344" s="2">
        <f t="shared" si="291"/>
        <v>0</v>
      </c>
      <c r="BG344" s="2">
        <f t="shared" si="291"/>
        <v>0</v>
      </c>
      <c r="BH344" s="2">
        <f t="shared" si="291"/>
        <v>0</v>
      </c>
      <c r="BI344" s="2">
        <f t="shared" si="291"/>
        <v>0</v>
      </c>
      <c r="BJ344" s="2">
        <f t="shared" si="291"/>
        <v>0</v>
      </c>
      <c r="BK344" s="2">
        <f t="shared" si="291"/>
        <v>0</v>
      </c>
      <c r="BL344" s="2">
        <f t="shared" si="291"/>
        <v>0</v>
      </c>
      <c r="BM344" s="2">
        <f t="shared" si="291"/>
        <v>0</v>
      </c>
      <c r="BN344" s="2">
        <f t="shared" si="291"/>
        <v>0</v>
      </c>
      <c r="BO344" s="2">
        <f t="shared" si="291"/>
        <v>0</v>
      </c>
      <c r="BP344" s="2">
        <f t="shared" si="291"/>
        <v>0</v>
      </c>
      <c r="BQ344" s="2">
        <f t="shared" si="291"/>
        <v>0</v>
      </c>
      <c r="BR344" s="2">
        <f t="shared" si="291"/>
        <v>0</v>
      </c>
      <c r="BS344" s="2">
        <f t="shared" si="291"/>
        <v>0</v>
      </c>
      <c r="BT344" s="2">
        <f t="shared" si="291"/>
        <v>0</v>
      </c>
      <c r="BU344" s="2">
        <f t="shared" si="291"/>
        <v>0</v>
      </c>
      <c r="BV344" s="2">
        <f t="shared" si="291"/>
        <v>0</v>
      </c>
      <c r="BW344" s="2">
        <f t="shared" si="291"/>
        <v>0</v>
      </c>
      <c r="BX344" s="2">
        <f t="shared" si="291"/>
        <v>0</v>
      </c>
      <c r="BY344" s="2">
        <f t="shared" si="291"/>
        <v>0</v>
      </c>
      <c r="BZ344" s="2">
        <f t="shared" si="291"/>
        <v>0</v>
      </c>
      <c r="CA344" s="2">
        <f t="shared" ref="CA344:DF344" si="292">CA358</f>
        <v>34681.129999999997</v>
      </c>
      <c r="CB344" s="2">
        <f t="shared" si="292"/>
        <v>34681.129999999997</v>
      </c>
      <c r="CC344" s="2">
        <f t="shared" si="292"/>
        <v>0</v>
      </c>
      <c r="CD344" s="2">
        <f t="shared" si="292"/>
        <v>0</v>
      </c>
      <c r="CE344" s="2">
        <f t="shared" si="292"/>
        <v>16508.14</v>
      </c>
      <c r="CF344" s="2">
        <f t="shared" si="292"/>
        <v>16508.14</v>
      </c>
      <c r="CG344" s="2">
        <f t="shared" si="292"/>
        <v>0</v>
      </c>
      <c r="CH344" s="2">
        <f t="shared" si="292"/>
        <v>16508.14</v>
      </c>
      <c r="CI344" s="2">
        <f t="shared" si="292"/>
        <v>0</v>
      </c>
      <c r="CJ344" s="2">
        <f t="shared" si="292"/>
        <v>0</v>
      </c>
      <c r="CK344" s="2">
        <f t="shared" si="292"/>
        <v>0</v>
      </c>
      <c r="CL344" s="2">
        <f t="shared" si="292"/>
        <v>0</v>
      </c>
      <c r="CM344" s="2">
        <f t="shared" si="292"/>
        <v>0</v>
      </c>
      <c r="CN344" s="2">
        <f t="shared" si="292"/>
        <v>0</v>
      </c>
      <c r="CO344" s="2">
        <f t="shared" si="292"/>
        <v>0</v>
      </c>
      <c r="CP344" s="2">
        <f t="shared" si="292"/>
        <v>0</v>
      </c>
      <c r="CQ344" s="2">
        <f t="shared" si="292"/>
        <v>0</v>
      </c>
      <c r="CR344" s="2">
        <f t="shared" si="292"/>
        <v>0</v>
      </c>
      <c r="CS344" s="2">
        <f t="shared" si="292"/>
        <v>0</v>
      </c>
      <c r="CT344" s="2">
        <f t="shared" si="292"/>
        <v>0</v>
      </c>
      <c r="CU344" s="2">
        <f t="shared" si="292"/>
        <v>0</v>
      </c>
      <c r="CV344" s="2">
        <f t="shared" si="292"/>
        <v>0</v>
      </c>
      <c r="CW344" s="2">
        <f t="shared" si="292"/>
        <v>0</v>
      </c>
      <c r="CX344" s="2">
        <f t="shared" si="292"/>
        <v>0</v>
      </c>
      <c r="CY344" s="2">
        <f t="shared" si="292"/>
        <v>0</v>
      </c>
      <c r="CZ344" s="2">
        <f t="shared" si="292"/>
        <v>0</v>
      </c>
      <c r="DA344" s="2">
        <f t="shared" si="292"/>
        <v>0</v>
      </c>
      <c r="DB344" s="2">
        <f t="shared" si="292"/>
        <v>0</v>
      </c>
      <c r="DC344" s="2">
        <f t="shared" si="292"/>
        <v>0</v>
      </c>
      <c r="DD344" s="2">
        <f t="shared" si="292"/>
        <v>0</v>
      </c>
      <c r="DE344" s="2">
        <f t="shared" si="292"/>
        <v>0</v>
      </c>
      <c r="DF344" s="2">
        <f t="shared" si="292"/>
        <v>0</v>
      </c>
      <c r="DG344" s="3">
        <f t="shared" ref="DG344:EL344" si="293">DG358</f>
        <v>0</v>
      </c>
      <c r="DH344" s="3">
        <f t="shared" si="293"/>
        <v>0</v>
      </c>
      <c r="DI344" s="3">
        <f t="shared" si="293"/>
        <v>0</v>
      </c>
      <c r="DJ344" s="3">
        <f t="shared" si="293"/>
        <v>0</v>
      </c>
      <c r="DK344" s="3">
        <f t="shared" si="293"/>
        <v>0</v>
      </c>
      <c r="DL344" s="3">
        <f t="shared" si="293"/>
        <v>0</v>
      </c>
      <c r="DM344" s="3">
        <f t="shared" si="293"/>
        <v>0</v>
      </c>
      <c r="DN344" s="3">
        <f t="shared" si="293"/>
        <v>0</v>
      </c>
      <c r="DO344" s="3">
        <f t="shared" si="293"/>
        <v>0</v>
      </c>
      <c r="DP344" s="3">
        <f t="shared" si="293"/>
        <v>0</v>
      </c>
      <c r="DQ344" s="3">
        <f t="shared" si="293"/>
        <v>0</v>
      </c>
      <c r="DR344" s="3">
        <f t="shared" si="293"/>
        <v>0</v>
      </c>
      <c r="DS344" s="3">
        <f t="shared" si="293"/>
        <v>0</v>
      </c>
      <c r="DT344" s="3">
        <f t="shared" si="293"/>
        <v>0</v>
      </c>
      <c r="DU344" s="3">
        <f t="shared" si="293"/>
        <v>0</v>
      </c>
      <c r="DV344" s="3">
        <f t="shared" si="293"/>
        <v>0</v>
      </c>
      <c r="DW344" s="3">
        <f t="shared" si="293"/>
        <v>0</v>
      </c>
      <c r="DX344" s="3">
        <f t="shared" si="293"/>
        <v>0</v>
      </c>
      <c r="DY344" s="3">
        <f t="shared" si="293"/>
        <v>0</v>
      </c>
      <c r="DZ344" s="3">
        <f t="shared" si="293"/>
        <v>0</v>
      </c>
      <c r="EA344" s="3">
        <f t="shared" si="293"/>
        <v>0</v>
      </c>
      <c r="EB344" s="3">
        <f t="shared" si="293"/>
        <v>0</v>
      </c>
      <c r="EC344" s="3">
        <f t="shared" si="293"/>
        <v>0</v>
      </c>
      <c r="ED344" s="3">
        <f t="shared" si="293"/>
        <v>0</v>
      </c>
      <c r="EE344" s="3">
        <f t="shared" si="293"/>
        <v>0</v>
      </c>
      <c r="EF344" s="3">
        <f t="shared" si="293"/>
        <v>0</v>
      </c>
      <c r="EG344" s="3">
        <f t="shared" si="293"/>
        <v>0</v>
      </c>
      <c r="EH344" s="3">
        <f t="shared" si="293"/>
        <v>0</v>
      </c>
      <c r="EI344" s="3">
        <f t="shared" si="293"/>
        <v>0</v>
      </c>
      <c r="EJ344" s="3">
        <f t="shared" si="293"/>
        <v>0</v>
      </c>
      <c r="EK344" s="3">
        <f t="shared" si="293"/>
        <v>0</v>
      </c>
      <c r="EL344" s="3">
        <f t="shared" si="293"/>
        <v>0</v>
      </c>
      <c r="EM344" s="3">
        <f t="shared" ref="EM344:FR344" si="294">EM358</f>
        <v>0</v>
      </c>
      <c r="EN344" s="3">
        <f t="shared" si="294"/>
        <v>0</v>
      </c>
      <c r="EO344" s="3">
        <f t="shared" si="294"/>
        <v>0</v>
      </c>
      <c r="EP344" s="3">
        <f t="shared" si="294"/>
        <v>0</v>
      </c>
      <c r="EQ344" s="3">
        <f t="shared" si="294"/>
        <v>0</v>
      </c>
      <c r="ER344" s="3">
        <f t="shared" si="294"/>
        <v>0</v>
      </c>
      <c r="ES344" s="3">
        <f t="shared" si="294"/>
        <v>0</v>
      </c>
      <c r="ET344" s="3">
        <f t="shared" si="294"/>
        <v>0</v>
      </c>
      <c r="EU344" s="3">
        <f t="shared" si="294"/>
        <v>0</v>
      </c>
      <c r="EV344" s="3">
        <f t="shared" si="294"/>
        <v>0</v>
      </c>
      <c r="EW344" s="3">
        <f t="shared" si="294"/>
        <v>0</v>
      </c>
      <c r="EX344" s="3">
        <f t="shared" si="294"/>
        <v>0</v>
      </c>
      <c r="EY344" s="3">
        <f t="shared" si="294"/>
        <v>0</v>
      </c>
      <c r="EZ344" s="3">
        <f t="shared" si="294"/>
        <v>0</v>
      </c>
      <c r="FA344" s="3">
        <f t="shared" si="294"/>
        <v>0</v>
      </c>
      <c r="FB344" s="3">
        <f t="shared" si="294"/>
        <v>0</v>
      </c>
      <c r="FC344" s="3">
        <f t="shared" si="294"/>
        <v>0</v>
      </c>
      <c r="FD344" s="3">
        <f t="shared" si="294"/>
        <v>0</v>
      </c>
      <c r="FE344" s="3">
        <f t="shared" si="294"/>
        <v>0</v>
      </c>
      <c r="FF344" s="3">
        <f t="shared" si="294"/>
        <v>0</v>
      </c>
      <c r="FG344" s="3">
        <f t="shared" si="294"/>
        <v>0</v>
      </c>
      <c r="FH344" s="3">
        <f t="shared" si="294"/>
        <v>0</v>
      </c>
      <c r="FI344" s="3">
        <f t="shared" si="294"/>
        <v>0</v>
      </c>
      <c r="FJ344" s="3">
        <f t="shared" si="294"/>
        <v>0</v>
      </c>
      <c r="FK344" s="3">
        <f t="shared" si="294"/>
        <v>0</v>
      </c>
      <c r="FL344" s="3">
        <f t="shared" si="294"/>
        <v>0</v>
      </c>
      <c r="FM344" s="3">
        <f t="shared" si="294"/>
        <v>0</v>
      </c>
      <c r="FN344" s="3">
        <f t="shared" si="294"/>
        <v>0</v>
      </c>
      <c r="FO344" s="3">
        <f t="shared" si="294"/>
        <v>0</v>
      </c>
      <c r="FP344" s="3">
        <f t="shared" si="294"/>
        <v>0</v>
      </c>
      <c r="FQ344" s="3">
        <f t="shared" si="294"/>
        <v>0</v>
      </c>
      <c r="FR344" s="3">
        <f t="shared" si="294"/>
        <v>0</v>
      </c>
      <c r="FS344" s="3">
        <f t="shared" ref="FS344:GX344" si="295">FS358</f>
        <v>0</v>
      </c>
      <c r="FT344" s="3">
        <f t="shared" si="295"/>
        <v>0</v>
      </c>
      <c r="FU344" s="3">
        <f t="shared" si="295"/>
        <v>0</v>
      </c>
      <c r="FV344" s="3">
        <f t="shared" si="295"/>
        <v>0</v>
      </c>
      <c r="FW344" s="3">
        <f t="shared" si="295"/>
        <v>0</v>
      </c>
      <c r="FX344" s="3">
        <f t="shared" si="295"/>
        <v>0</v>
      </c>
      <c r="FY344" s="3">
        <f t="shared" si="295"/>
        <v>0</v>
      </c>
      <c r="FZ344" s="3">
        <f t="shared" si="295"/>
        <v>0</v>
      </c>
      <c r="GA344" s="3">
        <f t="shared" si="295"/>
        <v>0</v>
      </c>
      <c r="GB344" s="3">
        <f t="shared" si="295"/>
        <v>0</v>
      </c>
      <c r="GC344" s="3">
        <f t="shared" si="295"/>
        <v>0</v>
      </c>
      <c r="GD344" s="3">
        <f t="shared" si="295"/>
        <v>0</v>
      </c>
      <c r="GE344" s="3">
        <f t="shared" si="295"/>
        <v>0</v>
      </c>
      <c r="GF344" s="3">
        <f t="shared" si="295"/>
        <v>0</v>
      </c>
      <c r="GG344" s="3">
        <f t="shared" si="295"/>
        <v>0</v>
      </c>
      <c r="GH344" s="3">
        <f t="shared" si="295"/>
        <v>0</v>
      </c>
      <c r="GI344" s="3">
        <f t="shared" si="295"/>
        <v>0</v>
      </c>
      <c r="GJ344" s="3">
        <f t="shared" si="295"/>
        <v>0</v>
      </c>
      <c r="GK344" s="3">
        <f t="shared" si="295"/>
        <v>0</v>
      </c>
      <c r="GL344" s="3">
        <f t="shared" si="295"/>
        <v>0</v>
      </c>
      <c r="GM344" s="3">
        <f t="shared" si="295"/>
        <v>0</v>
      </c>
      <c r="GN344" s="3">
        <f t="shared" si="295"/>
        <v>0</v>
      </c>
      <c r="GO344" s="3">
        <f t="shared" si="295"/>
        <v>0</v>
      </c>
      <c r="GP344" s="3">
        <f t="shared" si="295"/>
        <v>0</v>
      </c>
      <c r="GQ344" s="3">
        <f t="shared" si="295"/>
        <v>0</v>
      </c>
      <c r="GR344" s="3">
        <f t="shared" si="295"/>
        <v>0</v>
      </c>
      <c r="GS344" s="3">
        <f t="shared" si="295"/>
        <v>0</v>
      </c>
      <c r="GT344" s="3">
        <f t="shared" si="295"/>
        <v>0</v>
      </c>
      <c r="GU344" s="3">
        <f t="shared" si="295"/>
        <v>0</v>
      </c>
      <c r="GV344" s="3">
        <f t="shared" si="295"/>
        <v>0</v>
      </c>
      <c r="GW344" s="3">
        <f t="shared" si="295"/>
        <v>0</v>
      </c>
      <c r="GX344" s="3">
        <f t="shared" si="295"/>
        <v>0</v>
      </c>
    </row>
    <row r="346" spans="1:245" x14ac:dyDescent="0.2">
      <c r="A346">
        <v>17</v>
      </c>
      <c r="B346">
        <v>1</v>
      </c>
      <c r="C346">
        <f>ROW(SmtRes!A515)</f>
        <v>515</v>
      </c>
      <c r="D346">
        <f>ROW(EtalonRes!A476)</f>
        <v>476</v>
      </c>
      <c r="E346" t="s">
        <v>675</v>
      </c>
      <c r="F346" t="s">
        <v>676</v>
      </c>
      <c r="G346" t="s">
        <v>677</v>
      </c>
      <c r="H346" t="s">
        <v>424</v>
      </c>
      <c r="I346">
        <f>ROUND(2/100,9)</f>
        <v>0.02</v>
      </c>
      <c r="J346">
        <v>0</v>
      </c>
      <c r="O346">
        <f t="shared" ref="O346:O356" si="296">ROUND(CP346,2)</f>
        <v>167.09</v>
      </c>
      <c r="P346">
        <f t="shared" ref="P346:P356" si="297">ROUND(CQ346*I346,2)</f>
        <v>0</v>
      </c>
      <c r="Q346">
        <f t="shared" ref="Q346:Q356" si="298">ROUND(CR346*I346,2)</f>
        <v>14.64</v>
      </c>
      <c r="R346">
        <f t="shared" ref="R346:R356" si="299">ROUND(CS346*I346,2)</f>
        <v>6.32</v>
      </c>
      <c r="S346">
        <f t="shared" ref="S346:S356" si="300">ROUND(CT346*I346,2)</f>
        <v>152.44999999999999</v>
      </c>
      <c r="T346">
        <f t="shared" ref="T346:T356" si="301">ROUND(CU346*I346,2)</f>
        <v>0</v>
      </c>
      <c r="U346">
        <f t="shared" ref="U346:U356" si="302">CV346*I346</f>
        <v>3.16</v>
      </c>
      <c r="V346">
        <f t="shared" ref="V346:V356" si="303">CW346*I346</f>
        <v>7.6399999999999996E-2</v>
      </c>
      <c r="W346">
        <f t="shared" ref="W346:W356" si="304">ROUND(CX346*I346,2)</f>
        <v>0</v>
      </c>
      <c r="X346">
        <f t="shared" ref="X346:X356" si="305">ROUND(CY346,2)</f>
        <v>117.49</v>
      </c>
      <c r="Y346">
        <f t="shared" ref="Y346:Y356" si="306">ROUND(CZ346,2)</f>
        <v>79.39</v>
      </c>
      <c r="AA346">
        <v>39476960</v>
      </c>
      <c r="AB346">
        <f t="shared" ref="AB346:AB356" si="307">ROUND((AC346+AD346+AF346),2)</f>
        <v>1362.87</v>
      </c>
      <c r="AC346">
        <f>ROUND((ES346),2)</f>
        <v>0</v>
      </c>
      <c r="AD346">
        <f>ROUND((((ET346)-(EU346))+AE346),2)</f>
        <v>119.41</v>
      </c>
      <c r="AE346">
        <f>ROUND((EU346),2)</f>
        <v>51.57</v>
      </c>
      <c r="AF346">
        <f>ROUND((EV346),2)</f>
        <v>1243.46</v>
      </c>
      <c r="AG346">
        <f t="shared" ref="AG346:AG356" si="308">ROUND((AP346),2)</f>
        <v>0</v>
      </c>
      <c r="AH346">
        <f>(EW346)</f>
        <v>158</v>
      </c>
      <c r="AI346">
        <f>(EX346)</f>
        <v>3.82</v>
      </c>
      <c r="AJ346">
        <f t="shared" ref="AJ346:AJ356" si="309">ROUND((AS346),2)</f>
        <v>0</v>
      </c>
      <c r="AK346">
        <v>1362.87</v>
      </c>
      <c r="AL346">
        <v>0</v>
      </c>
      <c r="AM346">
        <v>119.41</v>
      </c>
      <c r="AN346">
        <v>51.57</v>
      </c>
      <c r="AO346">
        <v>1243.46</v>
      </c>
      <c r="AP346">
        <v>0</v>
      </c>
      <c r="AQ346">
        <v>158</v>
      </c>
      <c r="AR346">
        <v>3.82</v>
      </c>
      <c r="AS346">
        <v>0</v>
      </c>
      <c r="AT346">
        <v>74</v>
      </c>
      <c r="AU346">
        <v>50</v>
      </c>
      <c r="AV346">
        <v>1</v>
      </c>
      <c r="AW346">
        <v>1</v>
      </c>
      <c r="AZ346">
        <v>6.13</v>
      </c>
      <c r="BA346">
        <v>6.13</v>
      </c>
      <c r="BB346">
        <v>6.13</v>
      </c>
      <c r="BC346">
        <v>6.13</v>
      </c>
      <c r="BD346" t="s">
        <v>3</v>
      </c>
      <c r="BE346" t="s">
        <v>3</v>
      </c>
      <c r="BF346" t="s">
        <v>3</v>
      </c>
      <c r="BG346" t="s">
        <v>3</v>
      </c>
      <c r="BH346">
        <v>0</v>
      </c>
      <c r="BI346">
        <v>1</v>
      </c>
      <c r="BJ346" t="s">
        <v>678</v>
      </c>
      <c r="BM346">
        <v>65003</v>
      </c>
      <c r="BN346">
        <v>0</v>
      </c>
      <c r="BO346" t="s">
        <v>3</v>
      </c>
      <c r="BP346">
        <v>0</v>
      </c>
      <c r="BQ346">
        <v>6</v>
      </c>
      <c r="BR346">
        <v>0</v>
      </c>
      <c r="BS346">
        <v>6.13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3</v>
      </c>
      <c r="BZ346">
        <v>74</v>
      </c>
      <c r="CA346">
        <v>50</v>
      </c>
      <c r="CF346">
        <v>0</v>
      </c>
      <c r="CG346">
        <v>0</v>
      </c>
      <c r="CM346">
        <v>0</v>
      </c>
      <c r="CN346" t="s">
        <v>3</v>
      </c>
      <c r="CO346">
        <v>0</v>
      </c>
      <c r="CP346">
        <f t="shared" ref="CP346:CP356" si="310">(P346+Q346+S346)</f>
        <v>167.08999999999997</v>
      </c>
      <c r="CQ346">
        <f t="shared" ref="CQ346:CQ356" si="311">AC346*BC346</f>
        <v>0</v>
      </c>
      <c r="CR346">
        <f t="shared" ref="CR346:CR356" si="312">AD346*BB346</f>
        <v>731.98329999999999</v>
      </c>
      <c r="CS346">
        <f t="shared" ref="CS346:CS356" si="313">AE346*BS346</f>
        <v>316.1241</v>
      </c>
      <c r="CT346">
        <f t="shared" ref="CT346:CT356" si="314">AF346*BA346</f>
        <v>7622.4098000000004</v>
      </c>
      <c r="CU346">
        <f t="shared" ref="CU346:CU356" si="315">AG346</f>
        <v>0</v>
      </c>
      <c r="CV346">
        <f t="shared" ref="CV346:CV356" si="316">AH346</f>
        <v>158</v>
      </c>
      <c r="CW346">
        <f t="shared" ref="CW346:CW356" si="317">AI346</f>
        <v>3.82</v>
      </c>
      <c r="CX346">
        <f t="shared" ref="CX346:CX356" si="318">AJ346</f>
        <v>0</v>
      </c>
      <c r="CY346">
        <f t="shared" ref="CY346:CY355" si="319">(((S346+R346)*AT346)/100)</f>
        <v>117.4898</v>
      </c>
      <c r="CZ346">
        <f t="shared" ref="CZ346:CZ355" si="320">(((S346+R346)*AU346)/100)</f>
        <v>79.384999999999991</v>
      </c>
      <c r="DC346" t="s">
        <v>3</v>
      </c>
      <c r="DD346" t="s">
        <v>3</v>
      </c>
      <c r="DE346" t="s">
        <v>3</v>
      </c>
      <c r="DF346" t="s">
        <v>3</v>
      </c>
      <c r="DG346" t="s">
        <v>3</v>
      </c>
      <c r="DH346" t="s">
        <v>3</v>
      </c>
      <c r="DI346" t="s">
        <v>3</v>
      </c>
      <c r="DJ346" t="s">
        <v>3</v>
      </c>
      <c r="DK346" t="s">
        <v>3</v>
      </c>
      <c r="DL346" t="s">
        <v>3</v>
      </c>
      <c r="DM346" t="s">
        <v>3</v>
      </c>
      <c r="DN346">
        <v>0</v>
      </c>
      <c r="DO346">
        <v>0</v>
      </c>
      <c r="DP346">
        <v>1</v>
      </c>
      <c r="DQ346">
        <v>1</v>
      </c>
      <c r="DU346">
        <v>1013</v>
      </c>
      <c r="DV346" t="s">
        <v>424</v>
      </c>
      <c r="DW346" t="s">
        <v>424</v>
      </c>
      <c r="DX346">
        <v>1</v>
      </c>
      <c r="EE346">
        <v>39174594</v>
      </c>
      <c r="EF346">
        <v>6</v>
      </c>
      <c r="EG346" t="s">
        <v>19</v>
      </c>
      <c r="EH346">
        <v>0</v>
      </c>
      <c r="EI346" t="s">
        <v>3</v>
      </c>
      <c r="EJ346">
        <v>1</v>
      </c>
      <c r="EK346">
        <v>65003</v>
      </c>
      <c r="EL346" t="s">
        <v>509</v>
      </c>
      <c r="EM346" t="s">
        <v>510</v>
      </c>
      <c r="EO346" t="s">
        <v>3</v>
      </c>
      <c r="EQ346">
        <v>0</v>
      </c>
      <c r="ER346">
        <v>1362.87</v>
      </c>
      <c r="ES346">
        <v>0</v>
      </c>
      <c r="ET346">
        <v>119.41</v>
      </c>
      <c r="EU346">
        <v>51.57</v>
      </c>
      <c r="EV346">
        <v>1243.46</v>
      </c>
      <c r="EW346">
        <v>158</v>
      </c>
      <c r="EX346">
        <v>3.82</v>
      </c>
      <c r="EY346">
        <v>0</v>
      </c>
      <c r="FQ346">
        <v>0</v>
      </c>
      <c r="FR346">
        <f t="shared" ref="FR346:FR356" si="321">ROUND(IF(AND(BH346=3,BI346=3),P346,0),2)</f>
        <v>0</v>
      </c>
      <c r="FS346">
        <v>0</v>
      </c>
      <c r="FX346">
        <v>74</v>
      </c>
      <c r="FY346">
        <v>50</v>
      </c>
      <c r="GA346" t="s">
        <v>3</v>
      </c>
      <c r="GD346">
        <v>0</v>
      </c>
      <c r="GF346">
        <v>-1593086821</v>
      </c>
      <c r="GG346">
        <v>1</v>
      </c>
      <c r="GH346">
        <v>1</v>
      </c>
      <c r="GI346">
        <v>4</v>
      </c>
      <c r="GJ346">
        <v>0</v>
      </c>
      <c r="GK346">
        <f>ROUND(R346*(R12)/100,2)</f>
        <v>0</v>
      </c>
      <c r="GL346">
        <f t="shared" ref="GL346:GL356" si="322">ROUND(IF(AND(BH346=3,BI346=3,FS346&lt;&gt;0),P346,0),2)</f>
        <v>0</v>
      </c>
      <c r="GM346">
        <f t="shared" ref="GM346:GM356" si="323">ROUND(O346+X346+Y346+GK346,2)+GX346</f>
        <v>363.97</v>
      </c>
      <c r="GN346">
        <f t="shared" ref="GN346:GN356" si="324">IF(OR(BI346=0,BI346=1),ROUND(O346+X346+Y346+GK346,2),0)</f>
        <v>363.97</v>
      </c>
      <c r="GO346">
        <f t="shared" ref="GO346:GO356" si="325">IF(BI346=2,ROUND(O346+X346+Y346+GK346,2),0)</f>
        <v>0</v>
      </c>
      <c r="GP346">
        <f t="shared" ref="GP346:GP356" si="326">IF(BI346=4,ROUND(O346+X346+Y346+GK346,2)+GX346,0)</f>
        <v>0</v>
      </c>
      <c r="GR346">
        <v>0</v>
      </c>
      <c r="GS346">
        <v>3</v>
      </c>
      <c r="GT346">
        <v>0</v>
      </c>
      <c r="GU346" t="s">
        <v>3</v>
      </c>
      <c r="GV346">
        <f t="shared" ref="GV346:GV356" si="327">ROUND(GT346,2)</f>
        <v>0</v>
      </c>
      <c r="GW346">
        <v>1</v>
      </c>
      <c r="GX346">
        <f t="shared" ref="GX346:GX356" si="328">ROUND(GV346*GW346*I346,2)</f>
        <v>0</v>
      </c>
      <c r="HA346">
        <v>0</v>
      </c>
      <c r="HB346">
        <v>0</v>
      </c>
      <c r="IK346">
        <v>0</v>
      </c>
    </row>
    <row r="347" spans="1:245" x14ac:dyDescent="0.2">
      <c r="A347">
        <v>17</v>
      </c>
      <c r="B347">
        <v>1</v>
      </c>
      <c r="C347">
        <f>ROW(SmtRes!A521)</f>
        <v>521</v>
      </c>
      <c r="D347">
        <f>ROW(EtalonRes!A483)</f>
        <v>483</v>
      </c>
      <c r="E347" t="s">
        <v>679</v>
      </c>
      <c r="F347" t="s">
        <v>680</v>
      </c>
      <c r="G347" t="s">
        <v>681</v>
      </c>
      <c r="H347" t="s">
        <v>69</v>
      </c>
      <c r="I347">
        <f>ROUND(31/100,9)</f>
        <v>0.31</v>
      </c>
      <c r="J347">
        <v>0</v>
      </c>
      <c r="O347">
        <f t="shared" si="296"/>
        <v>560.79</v>
      </c>
      <c r="P347">
        <f t="shared" si="297"/>
        <v>0</v>
      </c>
      <c r="Q347">
        <f t="shared" si="298"/>
        <v>13.47</v>
      </c>
      <c r="R347">
        <f t="shared" si="299"/>
        <v>2.57</v>
      </c>
      <c r="S347">
        <f t="shared" si="300"/>
        <v>547.32000000000005</v>
      </c>
      <c r="T347">
        <f t="shared" si="301"/>
        <v>0</v>
      </c>
      <c r="U347">
        <f t="shared" si="302"/>
        <v>10.744599999999998</v>
      </c>
      <c r="V347">
        <f t="shared" si="303"/>
        <v>3.1E-2</v>
      </c>
      <c r="W347">
        <f t="shared" si="304"/>
        <v>0</v>
      </c>
      <c r="X347">
        <f t="shared" si="305"/>
        <v>406.92</v>
      </c>
      <c r="Y347">
        <f t="shared" si="306"/>
        <v>274.95</v>
      </c>
      <c r="AA347">
        <v>39476960</v>
      </c>
      <c r="AB347">
        <f t="shared" si="307"/>
        <v>295.11</v>
      </c>
      <c r="AC347">
        <f>ROUND(((ES347*0)),2)</f>
        <v>0</v>
      </c>
      <c r="AD347">
        <f>ROUND((((ET347)-(EU347))+AE347),2)</f>
        <v>7.09</v>
      </c>
      <c r="AE347">
        <f>ROUND((EU347),2)</f>
        <v>1.35</v>
      </c>
      <c r="AF347">
        <f>ROUND((EV347),2)</f>
        <v>288.02</v>
      </c>
      <c r="AG347">
        <f t="shared" si="308"/>
        <v>0</v>
      </c>
      <c r="AH347">
        <f>(EW347)</f>
        <v>34.659999999999997</v>
      </c>
      <c r="AI347">
        <f>(EX347)</f>
        <v>0.1</v>
      </c>
      <c r="AJ347">
        <f t="shared" si="309"/>
        <v>0</v>
      </c>
      <c r="AK347">
        <v>328.71</v>
      </c>
      <c r="AL347">
        <v>33.6</v>
      </c>
      <c r="AM347">
        <v>7.09</v>
      </c>
      <c r="AN347">
        <v>1.35</v>
      </c>
      <c r="AO347">
        <v>288.02</v>
      </c>
      <c r="AP347">
        <v>0</v>
      </c>
      <c r="AQ347">
        <v>34.659999999999997</v>
      </c>
      <c r="AR347">
        <v>0.1</v>
      </c>
      <c r="AS347">
        <v>0</v>
      </c>
      <c r="AT347">
        <v>74</v>
      </c>
      <c r="AU347">
        <v>50</v>
      </c>
      <c r="AV347">
        <v>1</v>
      </c>
      <c r="AW347">
        <v>1</v>
      </c>
      <c r="AZ347">
        <v>6.13</v>
      </c>
      <c r="BA347">
        <v>6.13</v>
      </c>
      <c r="BB347">
        <v>6.13</v>
      </c>
      <c r="BC347">
        <v>6.13</v>
      </c>
      <c r="BD347" t="s">
        <v>3</v>
      </c>
      <c r="BE347" t="s">
        <v>3</v>
      </c>
      <c r="BF347" t="s">
        <v>3</v>
      </c>
      <c r="BG347" t="s">
        <v>3</v>
      </c>
      <c r="BH347">
        <v>0</v>
      </c>
      <c r="BI347">
        <v>1</v>
      </c>
      <c r="BJ347" t="s">
        <v>682</v>
      </c>
      <c r="BM347">
        <v>65001</v>
      </c>
      <c r="BN347">
        <v>0</v>
      </c>
      <c r="BO347" t="s">
        <v>3</v>
      </c>
      <c r="BP347">
        <v>0</v>
      </c>
      <c r="BQ347">
        <v>6</v>
      </c>
      <c r="BR347">
        <v>0</v>
      </c>
      <c r="BS347">
        <v>6.13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3</v>
      </c>
      <c r="BZ347">
        <v>74</v>
      </c>
      <c r="CA347">
        <v>50</v>
      </c>
      <c r="CF347">
        <v>0</v>
      </c>
      <c r="CG347">
        <v>0</v>
      </c>
      <c r="CM347">
        <v>0</v>
      </c>
      <c r="CN347" t="s">
        <v>3</v>
      </c>
      <c r="CO347">
        <v>0</v>
      </c>
      <c r="CP347">
        <f t="shared" si="310"/>
        <v>560.79000000000008</v>
      </c>
      <c r="CQ347">
        <f t="shared" si="311"/>
        <v>0</v>
      </c>
      <c r="CR347">
        <f t="shared" si="312"/>
        <v>43.4617</v>
      </c>
      <c r="CS347">
        <f t="shared" si="313"/>
        <v>8.275500000000001</v>
      </c>
      <c r="CT347">
        <f t="shared" si="314"/>
        <v>1765.5625999999997</v>
      </c>
      <c r="CU347">
        <f t="shared" si="315"/>
        <v>0</v>
      </c>
      <c r="CV347">
        <f t="shared" si="316"/>
        <v>34.659999999999997</v>
      </c>
      <c r="CW347">
        <f t="shared" si="317"/>
        <v>0.1</v>
      </c>
      <c r="CX347">
        <f t="shared" si="318"/>
        <v>0</v>
      </c>
      <c r="CY347">
        <f t="shared" si="319"/>
        <v>406.91860000000008</v>
      </c>
      <c r="CZ347">
        <f t="shared" si="320"/>
        <v>274.94500000000005</v>
      </c>
      <c r="DC347" t="s">
        <v>3</v>
      </c>
      <c r="DD347" t="s">
        <v>683</v>
      </c>
      <c r="DE347" t="s">
        <v>3</v>
      </c>
      <c r="DF347" t="s">
        <v>3</v>
      </c>
      <c r="DG347" t="s">
        <v>3</v>
      </c>
      <c r="DH347" t="s">
        <v>3</v>
      </c>
      <c r="DI347" t="s">
        <v>3</v>
      </c>
      <c r="DJ347" t="s">
        <v>3</v>
      </c>
      <c r="DK347" t="s">
        <v>3</v>
      </c>
      <c r="DL347" t="s">
        <v>3</v>
      </c>
      <c r="DM347" t="s">
        <v>3</v>
      </c>
      <c r="DN347">
        <v>0</v>
      </c>
      <c r="DO347">
        <v>0</v>
      </c>
      <c r="DP347">
        <v>1</v>
      </c>
      <c r="DQ347">
        <v>1</v>
      </c>
      <c r="DU347">
        <v>1003</v>
      </c>
      <c r="DV347" t="s">
        <v>69</v>
      </c>
      <c r="DW347" t="s">
        <v>69</v>
      </c>
      <c r="DX347">
        <v>100</v>
      </c>
      <c r="EE347">
        <v>39174590</v>
      </c>
      <c r="EF347">
        <v>6</v>
      </c>
      <c r="EG347" t="s">
        <v>19</v>
      </c>
      <c r="EH347">
        <v>0</v>
      </c>
      <c r="EI347" t="s">
        <v>3</v>
      </c>
      <c r="EJ347">
        <v>1</v>
      </c>
      <c r="EK347">
        <v>65001</v>
      </c>
      <c r="EL347" t="s">
        <v>509</v>
      </c>
      <c r="EM347" t="s">
        <v>510</v>
      </c>
      <c r="EO347" t="s">
        <v>3</v>
      </c>
      <c r="EQ347">
        <v>0</v>
      </c>
      <c r="ER347">
        <v>328.71</v>
      </c>
      <c r="ES347">
        <v>33.6</v>
      </c>
      <c r="ET347">
        <v>7.09</v>
      </c>
      <c r="EU347">
        <v>1.35</v>
      </c>
      <c r="EV347">
        <v>288.02</v>
      </c>
      <c r="EW347">
        <v>34.659999999999997</v>
      </c>
      <c r="EX347">
        <v>0.1</v>
      </c>
      <c r="EY347">
        <v>0</v>
      </c>
      <c r="FQ347">
        <v>0</v>
      </c>
      <c r="FR347">
        <f t="shared" si="321"/>
        <v>0</v>
      </c>
      <c r="FS347">
        <v>0</v>
      </c>
      <c r="FX347">
        <v>74</v>
      </c>
      <c r="FY347">
        <v>50</v>
      </c>
      <c r="GA347" t="s">
        <v>3</v>
      </c>
      <c r="GD347">
        <v>0</v>
      </c>
      <c r="GF347">
        <v>-319600296</v>
      </c>
      <c r="GG347">
        <v>1</v>
      </c>
      <c r="GH347">
        <v>1</v>
      </c>
      <c r="GI347">
        <v>4</v>
      </c>
      <c r="GJ347">
        <v>0</v>
      </c>
      <c r="GK347">
        <f>ROUND(R347*(R12)/100,2)</f>
        <v>0</v>
      </c>
      <c r="GL347">
        <f t="shared" si="322"/>
        <v>0</v>
      </c>
      <c r="GM347">
        <f t="shared" si="323"/>
        <v>1242.6600000000001</v>
      </c>
      <c r="GN347">
        <f t="shared" si="324"/>
        <v>1242.6600000000001</v>
      </c>
      <c r="GO347">
        <f t="shared" si="325"/>
        <v>0</v>
      </c>
      <c r="GP347">
        <f t="shared" si="326"/>
        <v>0</v>
      </c>
      <c r="GR347">
        <v>0</v>
      </c>
      <c r="GS347">
        <v>3</v>
      </c>
      <c r="GT347">
        <v>0</v>
      </c>
      <c r="GU347" t="s">
        <v>3</v>
      </c>
      <c r="GV347">
        <f t="shared" si="327"/>
        <v>0</v>
      </c>
      <c r="GW347">
        <v>1</v>
      </c>
      <c r="GX347">
        <f t="shared" si="328"/>
        <v>0</v>
      </c>
      <c r="HA347">
        <v>0</v>
      </c>
      <c r="HB347">
        <v>0</v>
      </c>
      <c r="IK347">
        <v>0</v>
      </c>
    </row>
    <row r="348" spans="1:245" x14ac:dyDescent="0.2">
      <c r="A348">
        <v>17</v>
      </c>
      <c r="B348">
        <v>1</v>
      </c>
      <c r="C348">
        <f>ROW(SmtRes!A532)</f>
        <v>532</v>
      </c>
      <c r="D348">
        <f>ROW(EtalonRes!A493)</f>
        <v>493</v>
      </c>
      <c r="E348" t="s">
        <v>684</v>
      </c>
      <c r="F348" t="s">
        <v>685</v>
      </c>
      <c r="G348" t="s">
        <v>686</v>
      </c>
      <c r="H348" t="s">
        <v>687</v>
      </c>
      <c r="I348">
        <f>ROUND(6.08/100,9)</f>
        <v>6.08E-2</v>
      </c>
      <c r="J348">
        <v>0</v>
      </c>
      <c r="O348">
        <f t="shared" si="296"/>
        <v>941.99</v>
      </c>
      <c r="P348">
        <f t="shared" si="297"/>
        <v>416.19</v>
      </c>
      <c r="Q348">
        <f t="shared" si="298"/>
        <v>176.55</v>
      </c>
      <c r="R348">
        <f t="shared" si="299"/>
        <v>42.19</v>
      </c>
      <c r="S348">
        <f t="shared" si="300"/>
        <v>349.25</v>
      </c>
      <c r="T348">
        <f t="shared" si="301"/>
        <v>0</v>
      </c>
      <c r="U348">
        <f t="shared" si="302"/>
        <v>6.3515327999999993</v>
      </c>
      <c r="V348">
        <f t="shared" si="303"/>
        <v>0.55267199999999983</v>
      </c>
      <c r="W348">
        <f t="shared" si="304"/>
        <v>0</v>
      </c>
      <c r="X348">
        <f t="shared" si="305"/>
        <v>450.16</v>
      </c>
      <c r="Y348">
        <f t="shared" si="306"/>
        <v>277.92</v>
      </c>
      <c r="AA348">
        <v>39476960</v>
      </c>
      <c r="AB348">
        <f t="shared" si="307"/>
        <v>2527.44</v>
      </c>
      <c r="AC348">
        <f t="shared" ref="AC348:AC356" si="329">ROUND((ES348),2)</f>
        <v>1116.68</v>
      </c>
      <c r="AD348">
        <f>ROUND((((((ET348*1.25)*1.2))-(((EU348*1.25)*1.2)))+AE348),2)</f>
        <v>473.7</v>
      </c>
      <c r="AE348">
        <f>ROUND((((EU348*1.25)*1.2)),2)</f>
        <v>113.19</v>
      </c>
      <c r="AF348">
        <f>ROUND((((EV348*1.15)*1.2)),2)</f>
        <v>937.06</v>
      </c>
      <c r="AG348">
        <f t="shared" si="308"/>
        <v>0</v>
      </c>
      <c r="AH348">
        <f>(((EW348*1.15)*1.2))</f>
        <v>104.46599999999999</v>
      </c>
      <c r="AI348">
        <f>(((EX348*1.25)*1.2))</f>
        <v>9.0899999999999981</v>
      </c>
      <c r="AJ348">
        <f t="shared" si="309"/>
        <v>0</v>
      </c>
      <c r="AK348">
        <v>2111.5100000000002</v>
      </c>
      <c r="AL348">
        <v>1116.68</v>
      </c>
      <c r="AM348">
        <v>315.8</v>
      </c>
      <c r="AN348">
        <v>75.459999999999994</v>
      </c>
      <c r="AO348">
        <v>679.03</v>
      </c>
      <c r="AP348">
        <v>0</v>
      </c>
      <c r="AQ348">
        <v>75.7</v>
      </c>
      <c r="AR348">
        <v>6.06</v>
      </c>
      <c r="AS348">
        <v>0</v>
      </c>
      <c r="AT348">
        <v>115</v>
      </c>
      <c r="AU348">
        <v>71</v>
      </c>
      <c r="AV348">
        <v>1</v>
      </c>
      <c r="AW348">
        <v>1</v>
      </c>
      <c r="AZ348">
        <v>6.13</v>
      </c>
      <c r="BA348">
        <v>6.13</v>
      </c>
      <c r="BB348">
        <v>6.13</v>
      </c>
      <c r="BC348">
        <v>6.13</v>
      </c>
      <c r="BD348" t="s">
        <v>3</v>
      </c>
      <c r="BE348" t="s">
        <v>3</v>
      </c>
      <c r="BF348" t="s">
        <v>3</v>
      </c>
      <c r="BG348" t="s">
        <v>3</v>
      </c>
      <c r="BH348">
        <v>0</v>
      </c>
      <c r="BI348">
        <v>1</v>
      </c>
      <c r="BJ348" t="s">
        <v>688</v>
      </c>
      <c r="BM348">
        <v>18001</v>
      </c>
      <c r="BN348">
        <v>0</v>
      </c>
      <c r="BO348" t="s">
        <v>3</v>
      </c>
      <c r="BP348">
        <v>0</v>
      </c>
      <c r="BQ348">
        <v>2</v>
      </c>
      <c r="BR348">
        <v>0</v>
      </c>
      <c r="BS348">
        <v>6.13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3</v>
      </c>
      <c r="BZ348">
        <v>128</v>
      </c>
      <c r="CA348">
        <v>83</v>
      </c>
      <c r="CF348">
        <v>0</v>
      </c>
      <c r="CG348">
        <v>0</v>
      </c>
      <c r="CM348">
        <v>0</v>
      </c>
      <c r="CN348" t="s">
        <v>1274</v>
      </c>
      <c r="CO348">
        <v>0</v>
      </c>
      <c r="CP348">
        <f t="shared" si="310"/>
        <v>941.99</v>
      </c>
      <c r="CQ348">
        <f t="shared" si="311"/>
        <v>6845.2484000000004</v>
      </c>
      <c r="CR348">
        <f t="shared" si="312"/>
        <v>2903.7809999999999</v>
      </c>
      <c r="CS348">
        <f t="shared" si="313"/>
        <v>693.85469999999998</v>
      </c>
      <c r="CT348">
        <f t="shared" si="314"/>
        <v>5744.1777999999995</v>
      </c>
      <c r="CU348">
        <f t="shared" si="315"/>
        <v>0</v>
      </c>
      <c r="CV348">
        <f t="shared" si="316"/>
        <v>104.46599999999999</v>
      </c>
      <c r="CW348">
        <f t="shared" si="317"/>
        <v>9.0899999999999981</v>
      </c>
      <c r="CX348">
        <f t="shared" si="318"/>
        <v>0</v>
      </c>
      <c r="CY348">
        <f t="shared" si="319"/>
        <v>450.15600000000001</v>
      </c>
      <c r="CZ348">
        <f t="shared" si="320"/>
        <v>277.92240000000004</v>
      </c>
      <c r="DC348" t="s">
        <v>3</v>
      </c>
      <c r="DD348" t="s">
        <v>3</v>
      </c>
      <c r="DE348" t="s">
        <v>53</v>
      </c>
      <c r="DF348" t="s">
        <v>53</v>
      </c>
      <c r="DG348" t="s">
        <v>54</v>
      </c>
      <c r="DH348" t="s">
        <v>3</v>
      </c>
      <c r="DI348" t="s">
        <v>54</v>
      </c>
      <c r="DJ348" t="s">
        <v>53</v>
      </c>
      <c r="DK348" t="s">
        <v>3</v>
      </c>
      <c r="DL348" t="s">
        <v>3</v>
      </c>
      <c r="DM348" t="s">
        <v>3</v>
      </c>
      <c r="DN348">
        <v>0</v>
      </c>
      <c r="DO348">
        <v>0</v>
      </c>
      <c r="DP348">
        <v>1</v>
      </c>
      <c r="DQ348">
        <v>1</v>
      </c>
      <c r="DU348">
        <v>1013</v>
      </c>
      <c r="DV348" t="s">
        <v>687</v>
      </c>
      <c r="DW348" t="s">
        <v>687</v>
      </c>
      <c r="DX348">
        <v>1</v>
      </c>
      <c r="EE348">
        <v>39174532</v>
      </c>
      <c r="EF348">
        <v>2</v>
      </c>
      <c r="EG348" t="s">
        <v>13</v>
      </c>
      <c r="EH348">
        <v>0</v>
      </c>
      <c r="EI348" t="s">
        <v>3</v>
      </c>
      <c r="EJ348">
        <v>1</v>
      </c>
      <c r="EK348">
        <v>18001</v>
      </c>
      <c r="EL348" t="s">
        <v>544</v>
      </c>
      <c r="EM348" t="s">
        <v>545</v>
      </c>
      <c r="EO348" t="s">
        <v>89</v>
      </c>
      <c r="EQ348">
        <v>0</v>
      </c>
      <c r="ER348">
        <v>2111.5100000000002</v>
      </c>
      <c r="ES348">
        <v>1116.68</v>
      </c>
      <c r="ET348">
        <v>315.8</v>
      </c>
      <c r="EU348">
        <v>75.459999999999994</v>
      </c>
      <c r="EV348">
        <v>679.03</v>
      </c>
      <c r="EW348">
        <v>75.7</v>
      </c>
      <c r="EX348">
        <v>6.06</v>
      </c>
      <c r="EY348">
        <v>0</v>
      </c>
      <c r="FQ348">
        <v>0</v>
      </c>
      <c r="FR348">
        <f t="shared" si="321"/>
        <v>0</v>
      </c>
      <c r="FS348">
        <v>0</v>
      </c>
      <c r="FT348" t="s">
        <v>29</v>
      </c>
      <c r="FU348" t="s">
        <v>30</v>
      </c>
      <c r="FX348">
        <v>115.2</v>
      </c>
      <c r="FY348">
        <v>70.55</v>
      </c>
      <c r="GA348" t="s">
        <v>3</v>
      </c>
      <c r="GD348">
        <v>0</v>
      </c>
      <c r="GF348">
        <v>-1104729887</v>
      </c>
      <c r="GG348">
        <v>1</v>
      </c>
      <c r="GH348">
        <v>1</v>
      </c>
      <c r="GI348">
        <v>4</v>
      </c>
      <c r="GJ348">
        <v>0</v>
      </c>
      <c r="GK348">
        <f>ROUND(R348*(R12)/100,2)</f>
        <v>0</v>
      </c>
      <c r="GL348">
        <f t="shared" si="322"/>
        <v>0</v>
      </c>
      <c r="GM348">
        <f t="shared" si="323"/>
        <v>1670.07</v>
      </c>
      <c r="GN348">
        <f t="shared" si="324"/>
        <v>1670.07</v>
      </c>
      <c r="GO348">
        <f t="shared" si="325"/>
        <v>0</v>
      </c>
      <c r="GP348">
        <f t="shared" si="326"/>
        <v>0</v>
      </c>
      <c r="GR348">
        <v>0</v>
      </c>
      <c r="GS348">
        <v>3</v>
      </c>
      <c r="GT348">
        <v>0</v>
      </c>
      <c r="GU348" t="s">
        <v>3</v>
      </c>
      <c r="GV348">
        <f t="shared" si="327"/>
        <v>0</v>
      </c>
      <c r="GW348">
        <v>1</v>
      </c>
      <c r="GX348">
        <f t="shared" si="328"/>
        <v>0</v>
      </c>
      <c r="HA348">
        <v>0</v>
      </c>
      <c r="HB348">
        <v>0</v>
      </c>
      <c r="IK348">
        <v>0</v>
      </c>
    </row>
    <row r="349" spans="1:245" x14ac:dyDescent="0.2">
      <c r="A349">
        <v>18</v>
      </c>
      <c r="B349">
        <v>1</v>
      </c>
      <c r="C349">
        <v>532</v>
      </c>
      <c r="E349" t="s">
        <v>689</v>
      </c>
      <c r="F349" t="s">
        <v>690</v>
      </c>
      <c r="G349" t="s">
        <v>691</v>
      </c>
      <c r="H349" t="s">
        <v>692</v>
      </c>
      <c r="I349">
        <f>I348*J349</f>
        <v>6.08</v>
      </c>
      <c r="J349">
        <v>100</v>
      </c>
      <c r="O349">
        <f t="shared" si="296"/>
        <v>11926.53</v>
      </c>
      <c r="P349">
        <f t="shared" si="297"/>
        <v>11926.53</v>
      </c>
      <c r="Q349">
        <f t="shared" si="298"/>
        <v>0</v>
      </c>
      <c r="R349">
        <f t="shared" si="299"/>
        <v>0</v>
      </c>
      <c r="S349">
        <f t="shared" si="300"/>
        <v>0</v>
      </c>
      <c r="T349">
        <f t="shared" si="301"/>
        <v>0</v>
      </c>
      <c r="U349">
        <f t="shared" si="302"/>
        <v>0</v>
      </c>
      <c r="V349">
        <f t="shared" si="303"/>
        <v>0</v>
      </c>
      <c r="W349">
        <f t="shared" si="304"/>
        <v>0</v>
      </c>
      <c r="X349">
        <f t="shared" si="305"/>
        <v>0</v>
      </c>
      <c r="Y349">
        <f t="shared" si="306"/>
        <v>0</v>
      </c>
      <c r="AA349">
        <v>39476960</v>
      </c>
      <c r="AB349">
        <f t="shared" si="307"/>
        <v>320</v>
      </c>
      <c r="AC349">
        <f t="shared" si="329"/>
        <v>320</v>
      </c>
      <c r="AD349">
        <f>ROUND((((ET349)-(EU349))+AE349),2)</f>
        <v>0</v>
      </c>
      <c r="AE349">
        <f>ROUND((EU349),2)</f>
        <v>0</v>
      </c>
      <c r="AF349">
        <f>ROUND((EV349),2)</f>
        <v>0</v>
      </c>
      <c r="AG349">
        <f t="shared" si="308"/>
        <v>0</v>
      </c>
      <c r="AH349">
        <f>(EW349)</f>
        <v>0</v>
      </c>
      <c r="AI349">
        <f>(EX349)</f>
        <v>0</v>
      </c>
      <c r="AJ349">
        <f t="shared" si="309"/>
        <v>0</v>
      </c>
      <c r="AK349">
        <v>320</v>
      </c>
      <c r="AL349">
        <v>320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115</v>
      </c>
      <c r="AU349">
        <v>71</v>
      </c>
      <c r="AV349">
        <v>1</v>
      </c>
      <c r="AW349">
        <v>1</v>
      </c>
      <c r="AZ349">
        <v>6.13</v>
      </c>
      <c r="BA349">
        <v>1</v>
      </c>
      <c r="BB349">
        <v>1</v>
      </c>
      <c r="BC349">
        <v>6.13</v>
      </c>
      <c r="BD349" t="s">
        <v>3</v>
      </c>
      <c r="BE349" t="s">
        <v>3</v>
      </c>
      <c r="BF349" t="s">
        <v>3</v>
      </c>
      <c r="BG349" t="s">
        <v>3</v>
      </c>
      <c r="BH349">
        <v>3</v>
      </c>
      <c r="BI349">
        <v>1</v>
      </c>
      <c r="BJ349" t="s">
        <v>693</v>
      </c>
      <c r="BM349">
        <v>18001</v>
      </c>
      <c r="BN349">
        <v>0</v>
      </c>
      <c r="BO349" t="s">
        <v>3</v>
      </c>
      <c r="BP349">
        <v>0</v>
      </c>
      <c r="BQ349">
        <v>2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3</v>
      </c>
      <c r="BZ349">
        <v>128</v>
      </c>
      <c r="CA349">
        <v>83</v>
      </c>
      <c r="CF349">
        <v>0</v>
      </c>
      <c r="CG349">
        <v>0</v>
      </c>
      <c r="CM349">
        <v>0</v>
      </c>
      <c r="CN349" t="s">
        <v>3</v>
      </c>
      <c r="CO349">
        <v>0</v>
      </c>
      <c r="CP349">
        <f t="shared" si="310"/>
        <v>11926.53</v>
      </c>
      <c r="CQ349">
        <f t="shared" si="311"/>
        <v>1961.6</v>
      </c>
      <c r="CR349">
        <f t="shared" si="312"/>
        <v>0</v>
      </c>
      <c r="CS349">
        <f t="shared" si="313"/>
        <v>0</v>
      </c>
      <c r="CT349">
        <f t="shared" si="314"/>
        <v>0</v>
      </c>
      <c r="CU349">
        <f t="shared" si="315"/>
        <v>0</v>
      </c>
      <c r="CV349">
        <f t="shared" si="316"/>
        <v>0</v>
      </c>
      <c r="CW349">
        <f t="shared" si="317"/>
        <v>0</v>
      </c>
      <c r="CX349">
        <f t="shared" si="318"/>
        <v>0</v>
      </c>
      <c r="CY349">
        <f t="shared" si="319"/>
        <v>0</v>
      </c>
      <c r="CZ349">
        <f t="shared" si="320"/>
        <v>0</v>
      </c>
      <c r="DC349" t="s">
        <v>3</v>
      </c>
      <c r="DD349" t="s">
        <v>3</v>
      </c>
      <c r="DE349" t="s">
        <v>3</v>
      </c>
      <c r="DF349" t="s">
        <v>3</v>
      </c>
      <c r="DG349" t="s">
        <v>3</v>
      </c>
      <c r="DH349" t="s">
        <v>3</v>
      </c>
      <c r="DI349" t="s">
        <v>3</v>
      </c>
      <c r="DJ349" t="s">
        <v>3</v>
      </c>
      <c r="DK349" t="s">
        <v>3</v>
      </c>
      <c r="DL349" t="s">
        <v>3</v>
      </c>
      <c r="DM349" t="s">
        <v>3</v>
      </c>
      <c r="DN349">
        <v>0</v>
      </c>
      <c r="DO349">
        <v>0</v>
      </c>
      <c r="DP349">
        <v>1</v>
      </c>
      <c r="DQ349">
        <v>1</v>
      </c>
      <c r="DU349">
        <v>1013</v>
      </c>
      <c r="DV349" t="s">
        <v>692</v>
      </c>
      <c r="DW349" t="s">
        <v>692</v>
      </c>
      <c r="DX349">
        <v>1</v>
      </c>
      <c r="EE349">
        <v>39174532</v>
      </c>
      <c r="EF349">
        <v>2</v>
      </c>
      <c r="EG349" t="s">
        <v>13</v>
      </c>
      <c r="EH349">
        <v>0</v>
      </c>
      <c r="EI349" t="s">
        <v>3</v>
      </c>
      <c r="EJ349">
        <v>1</v>
      </c>
      <c r="EK349">
        <v>18001</v>
      </c>
      <c r="EL349" t="s">
        <v>544</v>
      </c>
      <c r="EM349" t="s">
        <v>545</v>
      </c>
      <c r="EO349" t="s">
        <v>3</v>
      </c>
      <c r="EQ349">
        <v>0</v>
      </c>
      <c r="ER349">
        <v>320</v>
      </c>
      <c r="ES349">
        <v>320</v>
      </c>
      <c r="ET349">
        <v>0</v>
      </c>
      <c r="EU349">
        <v>0</v>
      </c>
      <c r="EV349">
        <v>0</v>
      </c>
      <c r="EW349">
        <v>0</v>
      </c>
      <c r="EX349">
        <v>0</v>
      </c>
      <c r="FQ349">
        <v>0</v>
      </c>
      <c r="FR349">
        <f t="shared" si="321"/>
        <v>0</v>
      </c>
      <c r="FS349">
        <v>0</v>
      </c>
      <c r="FT349" t="s">
        <v>29</v>
      </c>
      <c r="FU349" t="s">
        <v>30</v>
      </c>
      <c r="FX349">
        <v>115.2</v>
      </c>
      <c r="FY349">
        <v>70.55</v>
      </c>
      <c r="GA349" t="s">
        <v>3</v>
      </c>
      <c r="GD349">
        <v>0</v>
      </c>
      <c r="GF349">
        <v>1042667785</v>
      </c>
      <c r="GG349">
        <v>1</v>
      </c>
      <c r="GH349">
        <v>1</v>
      </c>
      <c r="GI349">
        <v>4</v>
      </c>
      <c r="GJ349">
        <v>0</v>
      </c>
      <c r="GK349">
        <f>ROUND(R349*(R12)/100,2)</f>
        <v>0</v>
      </c>
      <c r="GL349">
        <f t="shared" si="322"/>
        <v>0</v>
      </c>
      <c r="GM349">
        <f t="shared" si="323"/>
        <v>11926.53</v>
      </c>
      <c r="GN349">
        <f t="shared" si="324"/>
        <v>11926.53</v>
      </c>
      <c r="GO349">
        <f t="shared" si="325"/>
        <v>0</v>
      </c>
      <c r="GP349">
        <f t="shared" si="326"/>
        <v>0</v>
      </c>
      <c r="GR349">
        <v>0</v>
      </c>
      <c r="GS349">
        <v>3</v>
      </c>
      <c r="GT349">
        <v>0</v>
      </c>
      <c r="GU349" t="s">
        <v>3</v>
      </c>
      <c r="GV349">
        <f t="shared" si="327"/>
        <v>0</v>
      </c>
      <c r="GW349">
        <v>1</v>
      </c>
      <c r="GX349">
        <f t="shared" si="328"/>
        <v>0</v>
      </c>
      <c r="HA349">
        <v>0</v>
      </c>
      <c r="HB349">
        <v>0</v>
      </c>
      <c r="IK349">
        <v>0</v>
      </c>
    </row>
    <row r="350" spans="1:245" x14ac:dyDescent="0.2">
      <c r="A350">
        <v>18</v>
      </c>
      <c r="B350">
        <v>1</v>
      </c>
      <c r="C350">
        <v>531</v>
      </c>
      <c r="E350" t="s">
        <v>694</v>
      </c>
      <c r="F350" t="s">
        <v>695</v>
      </c>
      <c r="G350" t="s">
        <v>696</v>
      </c>
      <c r="H350" t="s">
        <v>692</v>
      </c>
      <c r="I350">
        <f>I348*J350</f>
        <v>6.08</v>
      </c>
      <c r="J350">
        <v>100</v>
      </c>
      <c r="O350">
        <f t="shared" si="296"/>
        <v>0</v>
      </c>
      <c r="P350">
        <f t="shared" si="297"/>
        <v>0</v>
      </c>
      <c r="Q350">
        <f t="shared" si="298"/>
        <v>0</v>
      </c>
      <c r="R350">
        <f t="shared" si="299"/>
        <v>0</v>
      </c>
      <c r="S350">
        <f t="shared" si="300"/>
        <v>0</v>
      </c>
      <c r="T350">
        <f t="shared" si="301"/>
        <v>0</v>
      </c>
      <c r="U350">
        <f t="shared" si="302"/>
        <v>0</v>
      </c>
      <c r="V350">
        <f t="shared" si="303"/>
        <v>0</v>
      </c>
      <c r="W350">
        <f t="shared" si="304"/>
        <v>0</v>
      </c>
      <c r="X350">
        <f t="shared" si="305"/>
        <v>0</v>
      </c>
      <c r="Y350">
        <f t="shared" si="306"/>
        <v>0</v>
      </c>
      <c r="AA350">
        <v>39476960</v>
      </c>
      <c r="AB350">
        <f t="shared" si="307"/>
        <v>0</v>
      </c>
      <c r="AC350">
        <f t="shared" si="329"/>
        <v>0</v>
      </c>
      <c r="AD350">
        <f>ROUND((((ET350)-(EU350))+AE350),2)</f>
        <v>0</v>
      </c>
      <c r="AE350">
        <f>ROUND((EU350),2)</f>
        <v>0</v>
      </c>
      <c r="AF350">
        <f>ROUND((EV350),2)</f>
        <v>0</v>
      </c>
      <c r="AG350">
        <f t="shared" si="308"/>
        <v>0</v>
      </c>
      <c r="AH350">
        <f>(EW350)</f>
        <v>0</v>
      </c>
      <c r="AI350">
        <f>(EX350)</f>
        <v>0</v>
      </c>
      <c r="AJ350">
        <f t="shared" si="309"/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115</v>
      </c>
      <c r="AU350">
        <v>71</v>
      </c>
      <c r="AV350">
        <v>1</v>
      </c>
      <c r="AW350">
        <v>1</v>
      </c>
      <c r="AZ350">
        <v>6.13</v>
      </c>
      <c r="BA350">
        <v>1</v>
      </c>
      <c r="BB350">
        <v>1</v>
      </c>
      <c r="BC350">
        <v>6.13</v>
      </c>
      <c r="BD350" t="s">
        <v>3</v>
      </c>
      <c r="BE350" t="s">
        <v>3</v>
      </c>
      <c r="BF350" t="s">
        <v>3</v>
      </c>
      <c r="BG350" t="s">
        <v>3</v>
      </c>
      <c r="BH350">
        <v>3</v>
      </c>
      <c r="BI350">
        <v>1</v>
      </c>
      <c r="BJ350" t="s">
        <v>3</v>
      </c>
      <c r="BM350">
        <v>18001</v>
      </c>
      <c r="BN350">
        <v>0</v>
      </c>
      <c r="BO350" t="s">
        <v>3</v>
      </c>
      <c r="BP350">
        <v>0</v>
      </c>
      <c r="BQ350">
        <v>2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3</v>
      </c>
      <c r="BZ350">
        <v>128</v>
      </c>
      <c r="CA350">
        <v>83</v>
      </c>
      <c r="CF350">
        <v>0</v>
      </c>
      <c r="CG350">
        <v>0</v>
      </c>
      <c r="CM350">
        <v>0</v>
      </c>
      <c r="CN350" t="s">
        <v>3</v>
      </c>
      <c r="CO350">
        <v>0</v>
      </c>
      <c r="CP350">
        <f t="shared" si="310"/>
        <v>0</v>
      </c>
      <c r="CQ350">
        <f t="shared" si="311"/>
        <v>0</v>
      </c>
      <c r="CR350">
        <f t="shared" si="312"/>
        <v>0</v>
      </c>
      <c r="CS350">
        <f t="shared" si="313"/>
        <v>0</v>
      </c>
      <c r="CT350">
        <f t="shared" si="314"/>
        <v>0</v>
      </c>
      <c r="CU350">
        <f t="shared" si="315"/>
        <v>0</v>
      </c>
      <c r="CV350">
        <f t="shared" si="316"/>
        <v>0</v>
      </c>
      <c r="CW350">
        <f t="shared" si="317"/>
        <v>0</v>
      </c>
      <c r="CX350">
        <f t="shared" si="318"/>
        <v>0</v>
      </c>
      <c r="CY350">
        <f t="shared" si="319"/>
        <v>0</v>
      </c>
      <c r="CZ350">
        <f t="shared" si="320"/>
        <v>0</v>
      </c>
      <c r="DC350" t="s">
        <v>3</v>
      </c>
      <c r="DD350" t="s">
        <v>3</v>
      </c>
      <c r="DE350" t="s">
        <v>3</v>
      </c>
      <c r="DF350" t="s">
        <v>3</v>
      </c>
      <c r="DG350" t="s">
        <v>3</v>
      </c>
      <c r="DH350" t="s">
        <v>3</v>
      </c>
      <c r="DI350" t="s">
        <v>3</v>
      </c>
      <c r="DJ350" t="s">
        <v>3</v>
      </c>
      <c r="DK350" t="s">
        <v>3</v>
      </c>
      <c r="DL350" t="s">
        <v>3</v>
      </c>
      <c r="DM350" t="s">
        <v>3</v>
      </c>
      <c r="DN350">
        <v>0</v>
      </c>
      <c r="DO350">
        <v>0</v>
      </c>
      <c r="DP350">
        <v>1</v>
      </c>
      <c r="DQ350">
        <v>1</v>
      </c>
      <c r="DU350">
        <v>1013</v>
      </c>
      <c r="DV350" t="s">
        <v>692</v>
      </c>
      <c r="DW350" t="s">
        <v>692</v>
      </c>
      <c r="DX350">
        <v>1</v>
      </c>
      <c r="EE350">
        <v>39174532</v>
      </c>
      <c r="EF350">
        <v>2</v>
      </c>
      <c r="EG350" t="s">
        <v>13</v>
      </c>
      <c r="EH350">
        <v>0</v>
      </c>
      <c r="EI350" t="s">
        <v>3</v>
      </c>
      <c r="EJ350">
        <v>1</v>
      </c>
      <c r="EK350">
        <v>18001</v>
      </c>
      <c r="EL350" t="s">
        <v>544</v>
      </c>
      <c r="EM350" t="s">
        <v>545</v>
      </c>
      <c r="EO350" t="s">
        <v>3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321"/>
        <v>0</v>
      </c>
      <c r="FS350">
        <v>0</v>
      </c>
      <c r="FT350" t="s">
        <v>29</v>
      </c>
      <c r="FU350" t="s">
        <v>30</v>
      </c>
      <c r="FX350">
        <v>115.2</v>
      </c>
      <c r="FY350">
        <v>70.55</v>
      </c>
      <c r="GA350" t="s">
        <v>3</v>
      </c>
      <c r="GD350">
        <v>0</v>
      </c>
      <c r="GF350">
        <v>704408924</v>
      </c>
      <c r="GG350">
        <v>1</v>
      </c>
      <c r="GH350">
        <v>1</v>
      </c>
      <c r="GI350">
        <v>4</v>
      </c>
      <c r="GJ350">
        <v>0</v>
      </c>
      <c r="GK350">
        <f>ROUND(R350*(R12)/100,2)</f>
        <v>0</v>
      </c>
      <c r="GL350">
        <f t="shared" si="322"/>
        <v>0</v>
      </c>
      <c r="GM350">
        <f t="shared" si="323"/>
        <v>0</v>
      </c>
      <c r="GN350">
        <f t="shared" si="324"/>
        <v>0</v>
      </c>
      <c r="GO350">
        <f t="shared" si="325"/>
        <v>0</v>
      </c>
      <c r="GP350">
        <f t="shared" si="326"/>
        <v>0</v>
      </c>
      <c r="GR350">
        <v>0</v>
      </c>
      <c r="GS350">
        <v>3</v>
      </c>
      <c r="GT350">
        <v>0</v>
      </c>
      <c r="GU350" t="s">
        <v>3</v>
      </c>
      <c r="GV350">
        <f t="shared" si="327"/>
        <v>0</v>
      </c>
      <c r="GW350">
        <v>1</v>
      </c>
      <c r="GX350">
        <f t="shared" si="328"/>
        <v>0</v>
      </c>
      <c r="HA350">
        <v>0</v>
      </c>
      <c r="HB350">
        <v>0</v>
      </c>
      <c r="IK350">
        <v>0</v>
      </c>
    </row>
    <row r="351" spans="1:245" x14ac:dyDescent="0.2">
      <c r="A351">
        <v>17</v>
      </c>
      <c r="B351">
        <v>1</v>
      </c>
      <c r="C351">
        <f>ROW(SmtRes!A542)</f>
        <v>542</v>
      </c>
      <c r="D351">
        <f>ROW(EtalonRes!A505)</f>
        <v>505</v>
      </c>
      <c r="E351" t="s">
        <v>697</v>
      </c>
      <c r="F351" t="s">
        <v>698</v>
      </c>
      <c r="G351" t="s">
        <v>699</v>
      </c>
      <c r="H351" t="s">
        <v>69</v>
      </c>
      <c r="I351">
        <f>ROUND(62/100,9)</f>
        <v>0.62</v>
      </c>
      <c r="J351">
        <v>0</v>
      </c>
      <c r="O351">
        <f t="shared" si="296"/>
        <v>5454.39</v>
      </c>
      <c r="P351">
        <f t="shared" si="297"/>
        <v>4.37</v>
      </c>
      <c r="Q351">
        <f t="shared" si="298"/>
        <v>177.49</v>
      </c>
      <c r="R351">
        <f t="shared" si="299"/>
        <v>29.87</v>
      </c>
      <c r="S351">
        <f t="shared" si="300"/>
        <v>5272.53</v>
      </c>
      <c r="T351">
        <f t="shared" si="301"/>
        <v>0</v>
      </c>
      <c r="U351">
        <f t="shared" si="302"/>
        <v>88.126799999999989</v>
      </c>
      <c r="V351">
        <f t="shared" si="303"/>
        <v>0.40920000000000001</v>
      </c>
      <c r="W351">
        <f t="shared" si="304"/>
        <v>0</v>
      </c>
      <c r="X351">
        <f t="shared" si="305"/>
        <v>6097.76</v>
      </c>
      <c r="Y351">
        <f t="shared" si="306"/>
        <v>3764.7</v>
      </c>
      <c r="AA351">
        <v>39476960</v>
      </c>
      <c r="AB351">
        <f t="shared" si="307"/>
        <v>1435.14</v>
      </c>
      <c r="AC351">
        <f t="shared" si="329"/>
        <v>1.1499999999999999</v>
      </c>
      <c r="AD351">
        <f>ROUND((((((ET351*1.25)*1.2))-(((EU351*1.25)*1.2)))+AE351),2)</f>
        <v>46.7</v>
      </c>
      <c r="AE351">
        <f>ROUND((((EU351*1.25)*1.2)),2)</f>
        <v>7.86</v>
      </c>
      <c r="AF351">
        <f>ROUND((((EV351*1.15)*1.2)),2)</f>
        <v>1387.29</v>
      </c>
      <c r="AG351">
        <f t="shared" si="308"/>
        <v>0</v>
      </c>
      <c r="AH351">
        <f>(((EW351*1.15)*1.2))</f>
        <v>142.13999999999999</v>
      </c>
      <c r="AI351">
        <f>(((EX351*1.25)*1.2))</f>
        <v>0.66</v>
      </c>
      <c r="AJ351">
        <f t="shared" si="309"/>
        <v>0</v>
      </c>
      <c r="AK351">
        <v>1037.56</v>
      </c>
      <c r="AL351">
        <v>1.1499999999999999</v>
      </c>
      <c r="AM351">
        <v>31.13</v>
      </c>
      <c r="AN351">
        <v>5.24</v>
      </c>
      <c r="AO351">
        <v>1005.28</v>
      </c>
      <c r="AP351">
        <v>0</v>
      </c>
      <c r="AQ351">
        <v>103</v>
      </c>
      <c r="AR351">
        <v>0.44</v>
      </c>
      <c r="AS351">
        <v>0</v>
      </c>
      <c r="AT351">
        <v>115</v>
      </c>
      <c r="AU351">
        <v>71</v>
      </c>
      <c r="AV351">
        <v>1</v>
      </c>
      <c r="AW351">
        <v>1</v>
      </c>
      <c r="AZ351">
        <v>6.13</v>
      </c>
      <c r="BA351">
        <v>6.13</v>
      </c>
      <c r="BB351">
        <v>6.13</v>
      </c>
      <c r="BC351">
        <v>6.13</v>
      </c>
      <c r="BD351" t="s">
        <v>3</v>
      </c>
      <c r="BE351" t="s">
        <v>3</v>
      </c>
      <c r="BF351" t="s">
        <v>3</v>
      </c>
      <c r="BG351" t="s">
        <v>3</v>
      </c>
      <c r="BH351">
        <v>0</v>
      </c>
      <c r="BI351">
        <v>1</v>
      </c>
      <c r="BJ351" t="s">
        <v>700</v>
      </c>
      <c r="BM351">
        <v>16001</v>
      </c>
      <c r="BN351">
        <v>0</v>
      </c>
      <c r="BO351" t="s">
        <v>3</v>
      </c>
      <c r="BP351">
        <v>0</v>
      </c>
      <c r="BQ351">
        <v>2</v>
      </c>
      <c r="BR351">
        <v>0</v>
      </c>
      <c r="BS351">
        <v>6.13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3</v>
      </c>
      <c r="BZ351">
        <v>128</v>
      </c>
      <c r="CA351">
        <v>83</v>
      </c>
      <c r="CF351">
        <v>0</v>
      </c>
      <c r="CG351">
        <v>0</v>
      </c>
      <c r="CM351">
        <v>0</v>
      </c>
      <c r="CN351" t="s">
        <v>1274</v>
      </c>
      <c r="CO351">
        <v>0</v>
      </c>
      <c r="CP351">
        <f t="shared" si="310"/>
        <v>5454.3899999999994</v>
      </c>
      <c r="CQ351">
        <f t="shared" si="311"/>
        <v>7.0494999999999992</v>
      </c>
      <c r="CR351">
        <f t="shared" si="312"/>
        <v>286.27100000000002</v>
      </c>
      <c r="CS351">
        <f t="shared" si="313"/>
        <v>48.181800000000003</v>
      </c>
      <c r="CT351">
        <f t="shared" si="314"/>
        <v>8504.0877</v>
      </c>
      <c r="CU351">
        <f t="shared" si="315"/>
        <v>0</v>
      </c>
      <c r="CV351">
        <f t="shared" si="316"/>
        <v>142.13999999999999</v>
      </c>
      <c r="CW351">
        <f t="shared" si="317"/>
        <v>0.66</v>
      </c>
      <c r="CX351">
        <f t="shared" si="318"/>
        <v>0</v>
      </c>
      <c r="CY351">
        <f t="shared" si="319"/>
        <v>6097.76</v>
      </c>
      <c r="CZ351">
        <f t="shared" si="320"/>
        <v>3764.7039999999997</v>
      </c>
      <c r="DC351" t="s">
        <v>3</v>
      </c>
      <c r="DD351" t="s">
        <v>3</v>
      </c>
      <c r="DE351" t="s">
        <v>53</v>
      </c>
      <c r="DF351" t="s">
        <v>53</v>
      </c>
      <c r="DG351" t="s">
        <v>54</v>
      </c>
      <c r="DH351" t="s">
        <v>3</v>
      </c>
      <c r="DI351" t="s">
        <v>54</v>
      </c>
      <c r="DJ351" t="s">
        <v>53</v>
      </c>
      <c r="DK351" t="s">
        <v>3</v>
      </c>
      <c r="DL351" t="s">
        <v>3</v>
      </c>
      <c r="DM351" t="s">
        <v>3</v>
      </c>
      <c r="DN351">
        <v>0</v>
      </c>
      <c r="DO351">
        <v>0</v>
      </c>
      <c r="DP351">
        <v>1</v>
      </c>
      <c r="DQ351">
        <v>1</v>
      </c>
      <c r="DU351">
        <v>1003</v>
      </c>
      <c r="DV351" t="s">
        <v>69</v>
      </c>
      <c r="DW351" t="s">
        <v>69</v>
      </c>
      <c r="DX351">
        <v>100</v>
      </c>
      <c r="EE351">
        <v>39174530</v>
      </c>
      <c r="EF351">
        <v>2</v>
      </c>
      <c r="EG351" t="s">
        <v>13</v>
      </c>
      <c r="EH351">
        <v>0</v>
      </c>
      <c r="EI351" t="s">
        <v>3</v>
      </c>
      <c r="EJ351">
        <v>1</v>
      </c>
      <c r="EK351">
        <v>16001</v>
      </c>
      <c r="EL351" t="s">
        <v>519</v>
      </c>
      <c r="EM351" t="s">
        <v>520</v>
      </c>
      <c r="EO351" t="s">
        <v>89</v>
      </c>
      <c r="EQ351">
        <v>0</v>
      </c>
      <c r="ER351">
        <v>1037.56</v>
      </c>
      <c r="ES351">
        <v>1.1499999999999999</v>
      </c>
      <c r="ET351">
        <v>31.13</v>
      </c>
      <c r="EU351">
        <v>5.24</v>
      </c>
      <c r="EV351">
        <v>1005.28</v>
      </c>
      <c r="EW351">
        <v>103</v>
      </c>
      <c r="EX351">
        <v>0.44</v>
      </c>
      <c r="EY351">
        <v>0</v>
      </c>
      <c r="FQ351">
        <v>0</v>
      </c>
      <c r="FR351">
        <f t="shared" si="321"/>
        <v>0</v>
      </c>
      <c r="FS351">
        <v>0</v>
      </c>
      <c r="FT351" t="s">
        <v>29</v>
      </c>
      <c r="FU351" t="s">
        <v>30</v>
      </c>
      <c r="FX351">
        <v>115.2</v>
      </c>
      <c r="FY351">
        <v>70.55</v>
      </c>
      <c r="GA351" t="s">
        <v>3</v>
      </c>
      <c r="GD351">
        <v>0</v>
      </c>
      <c r="GF351">
        <v>1945954805</v>
      </c>
      <c r="GG351">
        <v>1</v>
      </c>
      <c r="GH351">
        <v>1</v>
      </c>
      <c r="GI351">
        <v>4</v>
      </c>
      <c r="GJ351">
        <v>0</v>
      </c>
      <c r="GK351">
        <f>ROUND(R351*(R12)/100,2)</f>
        <v>0</v>
      </c>
      <c r="GL351">
        <f t="shared" si="322"/>
        <v>0</v>
      </c>
      <c r="GM351">
        <f t="shared" si="323"/>
        <v>15316.85</v>
      </c>
      <c r="GN351">
        <f t="shared" si="324"/>
        <v>15316.85</v>
      </c>
      <c r="GO351">
        <f t="shared" si="325"/>
        <v>0</v>
      </c>
      <c r="GP351">
        <f t="shared" si="326"/>
        <v>0</v>
      </c>
      <c r="GR351">
        <v>0</v>
      </c>
      <c r="GS351">
        <v>3</v>
      </c>
      <c r="GT351">
        <v>0</v>
      </c>
      <c r="GU351" t="s">
        <v>3</v>
      </c>
      <c r="GV351">
        <f t="shared" si="327"/>
        <v>0</v>
      </c>
      <c r="GW351">
        <v>1</v>
      </c>
      <c r="GX351">
        <f t="shared" si="328"/>
        <v>0</v>
      </c>
      <c r="HA351">
        <v>0</v>
      </c>
      <c r="HB351">
        <v>0</v>
      </c>
      <c r="IK351">
        <v>0</v>
      </c>
    </row>
    <row r="352" spans="1:245" x14ac:dyDescent="0.2">
      <c r="A352">
        <v>18</v>
      </c>
      <c r="B352">
        <v>1</v>
      </c>
      <c r="C352">
        <v>540</v>
      </c>
      <c r="E352" t="s">
        <v>701</v>
      </c>
      <c r="F352" t="s">
        <v>702</v>
      </c>
      <c r="G352" t="s">
        <v>703</v>
      </c>
      <c r="H352" t="s">
        <v>160</v>
      </c>
      <c r="I352">
        <f>I351*J352</f>
        <v>3</v>
      </c>
      <c r="J352">
        <v>4.838709677419355</v>
      </c>
      <c r="O352">
        <f t="shared" si="296"/>
        <v>2412.77</v>
      </c>
      <c r="P352">
        <f t="shared" si="297"/>
        <v>2412.77</v>
      </c>
      <c r="Q352">
        <f t="shared" si="298"/>
        <v>0</v>
      </c>
      <c r="R352">
        <f t="shared" si="299"/>
        <v>0</v>
      </c>
      <c r="S352">
        <f t="shared" si="300"/>
        <v>0</v>
      </c>
      <c r="T352">
        <f t="shared" si="301"/>
        <v>0</v>
      </c>
      <c r="U352">
        <f t="shared" si="302"/>
        <v>0</v>
      </c>
      <c r="V352">
        <f t="shared" si="303"/>
        <v>0</v>
      </c>
      <c r="W352">
        <f t="shared" si="304"/>
        <v>0</v>
      </c>
      <c r="X352">
        <f t="shared" si="305"/>
        <v>0</v>
      </c>
      <c r="Y352">
        <f t="shared" si="306"/>
        <v>0</v>
      </c>
      <c r="AA352">
        <v>39476960</v>
      </c>
      <c r="AB352">
        <f t="shared" si="307"/>
        <v>131.19999999999999</v>
      </c>
      <c r="AC352">
        <f t="shared" si="329"/>
        <v>131.19999999999999</v>
      </c>
      <c r="AD352">
        <f>ROUND((((ET352)-(EU352))+AE352),2)</f>
        <v>0</v>
      </c>
      <c r="AE352">
        <f t="shared" ref="AE352:AF354" si="330">ROUND((EU352),2)</f>
        <v>0</v>
      </c>
      <c r="AF352">
        <f t="shared" si="330"/>
        <v>0</v>
      </c>
      <c r="AG352">
        <f t="shared" si="308"/>
        <v>0</v>
      </c>
      <c r="AH352">
        <f t="shared" ref="AH352:AI356" si="331">(EW352)</f>
        <v>0</v>
      </c>
      <c r="AI352">
        <f t="shared" si="331"/>
        <v>0</v>
      </c>
      <c r="AJ352">
        <f t="shared" si="309"/>
        <v>0</v>
      </c>
      <c r="AK352">
        <v>131.19999999999999</v>
      </c>
      <c r="AL352">
        <v>131.19999999999999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115</v>
      </c>
      <c r="AU352">
        <v>71</v>
      </c>
      <c r="AV352">
        <v>1</v>
      </c>
      <c r="AW352">
        <v>1</v>
      </c>
      <c r="AZ352">
        <v>6.13</v>
      </c>
      <c r="BA352">
        <v>1</v>
      </c>
      <c r="BB352">
        <v>1</v>
      </c>
      <c r="BC352">
        <v>6.13</v>
      </c>
      <c r="BD352" t="s">
        <v>3</v>
      </c>
      <c r="BE352" t="s">
        <v>3</v>
      </c>
      <c r="BF352" t="s">
        <v>3</v>
      </c>
      <c r="BG352" t="s">
        <v>3</v>
      </c>
      <c r="BH352">
        <v>3</v>
      </c>
      <c r="BI352">
        <v>1</v>
      </c>
      <c r="BJ352" t="s">
        <v>704</v>
      </c>
      <c r="BM352">
        <v>16001</v>
      </c>
      <c r="BN352">
        <v>0</v>
      </c>
      <c r="BO352" t="s">
        <v>3</v>
      </c>
      <c r="BP352">
        <v>0</v>
      </c>
      <c r="BQ352">
        <v>2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3</v>
      </c>
      <c r="BZ352">
        <v>128</v>
      </c>
      <c r="CA352">
        <v>83</v>
      </c>
      <c r="CF352">
        <v>0</v>
      </c>
      <c r="CG352">
        <v>0</v>
      </c>
      <c r="CM352">
        <v>0</v>
      </c>
      <c r="CN352" t="s">
        <v>3</v>
      </c>
      <c r="CO352">
        <v>0</v>
      </c>
      <c r="CP352">
        <f t="shared" si="310"/>
        <v>2412.77</v>
      </c>
      <c r="CQ352">
        <f t="shared" si="311"/>
        <v>804.25599999999997</v>
      </c>
      <c r="CR352">
        <f t="shared" si="312"/>
        <v>0</v>
      </c>
      <c r="CS352">
        <f t="shared" si="313"/>
        <v>0</v>
      </c>
      <c r="CT352">
        <f t="shared" si="314"/>
        <v>0</v>
      </c>
      <c r="CU352">
        <f t="shared" si="315"/>
        <v>0</v>
      </c>
      <c r="CV352">
        <f t="shared" si="316"/>
        <v>0</v>
      </c>
      <c r="CW352">
        <f t="shared" si="317"/>
        <v>0</v>
      </c>
      <c r="CX352">
        <f t="shared" si="318"/>
        <v>0</v>
      </c>
      <c r="CY352">
        <f t="shared" si="319"/>
        <v>0</v>
      </c>
      <c r="CZ352">
        <f t="shared" si="320"/>
        <v>0</v>
      </c>
      <c r="DC352" t="s">
        <v>3</v>
      </c>
      <c r="DD352" t="s">
        <v>3</v>
      </c>
      <c r="DE352" t="s">
        <v>3</v>
      </c>
      <c r="DF352" t="s">
        <v>3</v>
      </c>
      <c r="DG352" t="s">
        <v>3</v>
      </c>
      <c r="DH352" t="s">
        <v>3</v>
      </c>
      <c r="DI352" t="s">
        <v>3</v>
      </c>
      <c r="DJ352" t="s">
        <v>3</v>
      </c>
      <c r="DK352" t="s">
        <v>3</v>
      </c>
      <c r="DL352" t="s">
        <v>3</v>
      </c>
      <c r="DM352" t="s">
        <v>3</v>
      </c>
      <c r="DN352">
        <v>0</v>
      </c>
      <c r="DO352">
        <v>0</v>
      </c>
      <c r="DP352">
        <v>1</v>
      </c>
      <c r="DQ352">
        <v>1</v>
      </c>
      <c r="DU352">
        <v>1010</v>
      </c>
      <c r="DV352" t="s">
        <v>160</v>
      </c>
      <c r="DW352" t="s">
        <v>160</v>
      </c>
      <c r="DX352">
        <v>10</v>
      </c>
      <c r="EE352">
        <v>39174530</v>
      </c>
      <c r="EF352">
        <v>2</v>
      </c>
      <c r="EG352" t="s">
        <v>13</v>
      </c>
      <c r="EH352">
        <v>0</v>
      </c>
      <c r="EI352" t="s">
        <v>3</v>
      </c>
      <c r="EJ352">
        <v>1</v>
      </c>
      <c r="EK352">
        <v>16001</v>
      </c>
      <c r="EL352" t="s">
        <v>519</v>
      </c>
      <c r="EM352" t="s">
        <v>520</v>
      </c>
      <c r="EO352" t="s">
        <v>3</v>
      </c>
      <c r="EQ352">
        <v>0</v>
      </c>
      <c r="ER352">
        <v>131.19999999999999</v>
      </c>
      <c r="ES352">
        <v>131.19999999999999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321"/>
        <v>0</v>
      </c>
      <c r="FS352">
        <v>0</v>
      </c>
      <c r="FT352" t="s">
        <v>29</v>
      </c>
      <c r="FU352" t="s">
        <v>30</v>
      </c>
      <c r="FX352">
        <v>115.2</v>
      </c>
      <c r="FY352">
        <v>70.55</v>
      </c>
      <c r="GA352" t="s">
        <v>3</v>
      </c>
      <c r="GD352">
        <v>0</v>
      </c>
      <c r="GF352">
        <v>-943418912</v>
      </c>
      <c r="GG352">
        <v>1</v>
      </c>
      <c r="GH352">
        <v>1</v>
      </c>
      <c r="GI352">
        <v>4</v>
      </c>
      <c r="GJ352">
        <v>0</v>
      </c>
      <c r="GK352">
        <f>ROUND(R352*(R12)/100,2)</f>
        <v>0</v>
      </c>
      <c r="GL352">
        <f t="shared" si="322"/>
        <v>0</v>
      </c>
      <c r="GM352">
        <f t="shared" si="323"/>
        <v>2412.77</v>
      </c>
      <c r="GN352">
        <f t="shared" si="324"/>
        <v>2412.77</v>
      </c>
      <c r="GO352">
        <f t="shared" si="325"/>
        <v>0</v>
      </c>
      <c r="GP352">
        <f t="shared" si="326"/>
        <v>0</v>
      </c>
      <c r="GR352">
        <v>0</v>
      </c>
      <c r="GS352">
        <v>3</v>
      </c>
      <c r="GT352">
        <v>0</v>
      </c>
      <c r="GU352" t="s">
        <v>3</v>
      </c>
      <c r="GV352">
        <f t="shared" si="327"/>
        <v>0</v>
      </c>
      <c r="GW352">
        <v>1</v>
      </c>
      <c r="GX352">
        <f t="shared" si="328"/>
        <v>0</v>
      </c>
      <c r="HA352">
        <v>0</v>
      </c>
      <c r="HB352">
        <v>0</v>
      </c>
      <c r="IK352">
        <v>0</v>
      </c>
    </row>
    <row r="353" spans="1:245" x14ac:dyDescent="0.2">
      <c r="A353">
        <v>18</v>
      </c>
      <c r="B353">
        <v>1</v>
      </c>
      <c r="C353">
        <v>542</v>
      </c>
      <c r="E353" t="s">
        <v>705</v>
      </c>
      <c r="F353" t="s">
        <v>534</v>
      </c>
      <c r="G353" t="s">
        <v>706</v>
      </c>
      <c r="H353" t="s">
        <v>74</v>
      </c>
      <c r="I353">
        <f>I351*J353</f>
        <v>62</v>
      </c>
      <c r="J353">
        <v>100</v>
      </c>
      <c r="O353">
        <f t="shared" si="296"/>
        <v>1748.28</v>
      </c>
      <c r="P353">
        <f t="shared" si="297"/>
        <v>1748.28</v>
      </c>
      <c r="Q353">
        <f t="shared" si="298"/>
        <v>0</v>
      </c>
      <c r="R353">
        <f t="shared" si="299"/>
        <v>0</v>
      </c>
      <c r="S353">
        <f t="shared" si="300"/>
        <v>0</v>
      </c>
      <c r="T353">
        <f t="shared" si="301"/>
        <v>0</v>
      </c>
      <c r="U353">
        <f t="shared" si="302"/>
        <v>0</v>
      </c>
      <c r="V353">
        <f t="shared" si="303"/>
        <v>0</v>
      </c>
      <c r="W353">
        <f t="shared" si="304"/>
        <v>0</v>
      </c>
      <c r="X353">
        <f t="shared" si="305"/>
        <v>0</v>
      </c>
      <c r="Y353">
        <f t="shared" si="306"/>
        <v>0</v>
      </c>
      <c r="AA353">
        <v>39476960</v>
      </c>
      <c r="AB353">
        <f t="shared" si="307"/>
        <v>4.5999999999999996</v>
      </c>
      <c r="AC353">
        <f t="shared" si="329"/>
        <v>4.5999999999999996</v>
      </c>
      <c r="AD353">
        <f>ROUND((((ET353)-(EU353))+AE353),2)</f>
        <v>0</v>
      </c>
      <c r="AE353">
        <f t="shared" si="330"/>
        <v>0</v>
      </c>
      <c r="AF353">
        <f t="shared" si="330"/>
        <v>0</v>
      </c>
      <c r="AG353">
        <f t="shared" si="308"/>
        <v>0</v>
      </c>
      <c r="AH353">
        <f t="shared" si="331"/>
        <v>0</v>
      </c>
      <c r="AI353">
        <f t="shared" si="331"/>
        <v>0</v>
      </c>
      <c r="AJ353">
        <f t="shared" si="309"/>
        <v>0</v>
      </c>
      <c r="AK353">
        <v>4.5999999999999996</v>
      </c>
      <c r="AL353">
        <v>4.5999999999999996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115</v>
      </c>
      <c r="AU353">
        <v>71</v>
      </c>
      <c r="AV353">
        <v>1</v>
      </c>
      <c r="AW353">
        <v>1</v>
      </c>
      <c r="AZ353">
        <v>6.13</v>
      </c>
      <c r="BA353">
        <v>1</v>
      </c>
      <c r="BB353">
        <v>1</v>
      </c>
      <c r="BC353">
        <v>6.13</v>
      </c>
      <c r="BD353" t="s">
        <v>3</v>
      </c>
      <c r="BE353" t="s">
        <v>3</v>
      </c>
      <c r="BF353" t="s">
        <v>3</v>
      </c>
      <c r="BG353" t="s">
        <v>3</v>
      </c>
      <c r="BH353">
        <v>3</v>
      </c>
      <c r="BI353">
        <v>1</v>
      </c>
      <c r="BJ353" t="s">
        <v>536</v>
      </c>
      <c r="BM353">
        <v>16001</v>
      </c>
      <c r="BN353">
        <v>0</v>
      </c>
      <c r="BO353" t="s">
        <v>3</v>
      </c>
      <c r="BP353">
        <v>0</v>
      </c>
      <c r="BQ353">
        <v>2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3</v>
      </c>
      <c r="BZ353">
        <v>128</v>
      </c>
      <c r="CA353">
        <v>83</v>
      </c>
      <c r="CF353">
        <v>0</v>
      </c>
      <c r="CG353">
        <v>0</v>
      </c>
      <c r="CM353">
        <v>0</v>
      </c>
      <c r="CN353" t="s">
        <v>3</v>
      </c>
      <c r="CO353">
        <v>0</v>
      </c>
      <c r="CP353">
        <f t="shared" si="310"/>
        <v>1748.28</v>
      </c>
      <c r="CQ353">
        <f t="shared" si="311"/>
        <v>28.197999999999997</v>
      </c>
      <c r="CR353">
        <f t="shared" si="312"/>
        <v>0</v>
      </c>
      <c r="CS353">
        <f t="shared" si="313"/>
        <v>0</v>
      </c>
      <c r="CT353">
        <f t="shared" si="314"/>
        <v>0</v>
      </c>
      <c r="CU353">
        <f t="shared" si="315"/>
        <v>0</v>
      </c>
      <c r="CV353">
        <f t="shared" si="316"/>
        <v>0</v>
      </c>
      <c r="CW353">
        <f t="shared" si="317"/>
        <v>0</v>
      </c>
      <c r="CX353">
        <f t="shared" si="318"/>
        <v>0</v>
      </c>
      <c r="CY353">
        <f t="shared" si="319"/>
        <v>0</v>
      </c>
      <c r="CZ353">
        <f t="shared" si="320"/>
        <v>0</v>
      </c>
      <c r="DC353" t="s">
        <v>3</v>
      </c>
      <c r="DD353" t="s">
        <v>3</v>
      </c>
      <c r="DE353" t="s">
        <v>3</v>
      </c>
      <c r="DF353" t="s">
        <v>3</v>
      </c>
      <c r="DG353" t="s">
        <v>3</v>
      </c>
      <c r="DH353" t="s">
        <v>3</v>
      </c>
      <c r="DI353" t="s">
        <v>3</v>
      </c>
      <c r="DJ353" t="s">
        <v>3</v>
      </c>
      <c r="DK353" t="s">
        <v>3</v>
      </c>
      <c r="DL353" t="s">
        <v>3</v>
      </c>
      <c r="DM353" t="s">
        <v>3</v>
      </c>
      <c r="DN353">
        <v>0</v>
      </c>
      <c r="DO353">
        <v>0</v>
      </c>
      <c r="DP353">
        <v>1</v>
      </c>
      <c r="DQ353">
        <v>1</v>
      </c>
      <c r="DU353">
        <v>1003</v>
      </c>
      <c r="DV353" t="s">
        <v>74</v>
      </c>
      <c r="DW353" t="s">
        <v>74</v>
      </c>
      <c r="DX353">
        <v>1</v>
      </c>
      <c r="EE353">
        <v>39174530</v>
      </c>
      <c r="EF353">
        <v>2</v>
      </c>
      <c r="EG353" t="s">
        <v>13</v>
      </c>
      <c r="EH353">
        <v>0</v>
      </c>
      <c r="EI353" t="s">
        <v>3</v>
      </c>
      <c r="EJ353">
        <v>1</v>
      </c>
      <c r="EK353">
        <v>16001</v>
      </c>
      <c r="EL353" t="s">
        <v>519</v>
      </c>
      <c r="EM353" t="s">
        <v>520</v>
      </c>
      <c r="EO353" t="s">
        <v>3</v>
      </c>
      <c r="EQ353">
        <v>0</v>
      </c>
      <c r="ER353">
        <v>4.5999999999999996</v>
      </c>
      <c r="ES353">
        <v>4.5999999999999996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21"/>
        <v>0</v>
      </c>
      <c r="FS353">
        <v>0</v>
      </c>
      <c r="FT353" t="s">
        <v>29</v>
      </c>
      <c r="FU353" t="s">
        <v>30</v>
      </c>
      <c r="FX353">
        <v>115.2</v>
      </c>
      <c r="FY353">
        <v>70.55</v>
      </c>
      <c r="GA353" t="s">
        <v>3</v>
      </c>
      <c r="GD353">
        <v>0</v>
      </c>
      <c r="GF353">
        <v>-248636711</v>
      </c>
      <c r="GG353">
        <v>1</v>
      </c>
      <c r="GH353">
        <v>1</v>
      </c>
      <c r="GI353">
        <v>4</v>
      </c>
      <c r="GJ353">
        <v>0</v>
      </c>
      <c r="GK353">
        <f>ROUND(R353*(R12)/100,2)</f>
        <v>0</v>
      </c>
      <c r="GL353">
        <f t="shared" si="322"/>
        <v>0</v>
      </c>
      <c r="GM353">
        <f t="shared" si="323"/>
        <v>1748.28</v>
      </c>
      <c r="GN353">
        <f t="shared" si="324"/>
        <v>1748.28</v>
      </c>
      <c r="GO353">
        <f t="shared" si="325"/>
        <v>0</v>
      </c>
      <c r="GP353">
        <f t="shared" si="326"/>
        <v>0</v>
      </c>
      <c r="GR353">
        <v>0</v>
      </c>
      <c r="GS353">
        <v>3</v>
      </c>
      <c r="GT353">
        <v>0</v>
      </c>
      <c r="GU353" t="s">
        <v>3</v>
      </c>
      <c r="GV353">
        <f t="shared" si="327"/>
        <v>0</v>
      </c>
      <c r="GW353">
        <v>1</v>
      </c>
      <c r="GX353">
        <f t="shared" si="328"/>
        <v>0</v>
      </c>
      <c r="HA353">
        <v>0</v>
      </c>
      <c r="HB353">
        <v>0</v>
      </c>
      <c r="IK353">
        <v>0</v>
      </c>
    </row>
    <row r="354" spans="1:245" x14ac:dyDescent="0.2">
      <c r="A354">
        <v>18</v>
      </c>
      <c r="B354">
        <v>1</v>
      </c>
      <c r="C354">
        <v>541</v>
      </c>
      <c r="E354" t="s">
        <v>707</v>
      </c>
      <c r="F354" t="s">
        <v>708</v>
      </c>
      <c r="G354" t="s">
        <v>709</v>
      </c>
      <c r="H354" t="s">
        <v>74</v>
      </c>
      <c r="I354">
        <f>I351*J354</f>
        <v>62</v>
      </c>
      <c r="J354">
        <v>100</v>
      </c>
      <c r="O354">
        <f t="shared" si="296"/>
        <v>0</v>
      </c>
      <c r="P354">
        <f t="shared" si="297"/>
        <v>0</v>
      </c>
      <c r="Q354">
        <f t="shared" si="298"/>
        <v>0</v>
      </c>
      <c r="R354">
        <f t="shared" si="299"/>
        <v>0</v>
      </c>
      <c r="S354">
        <f t="shared" si="300"/>
        <v>0</v>
      </c>
      <c r="T354">
        <f t="shared" si="301"/>
        <v>0</v>
      </c>
      <c r="U354">
        <f t="shared" si="302"/>
        <v>0</v>
      </c>
      <c r="V354">
        <f t="shared" si="303"/>
        <v>0</v>
      </c>
      <c r="W354">
        <f t="shared" si="304"/>
        <v>0</v>
      </c>
      <c r="X354">
        <f t="shared" si="305"/>
        <v>0</v>
      </c>
      <c r="Y354">
        <f t="shared" si="306"/>
        <v>0</v>
      </c>
      <c r="AA354">
        <v>39476960</v>
      </c>
      <c r="AB354">
        <f t="shared" si="307"/>
        <v>0</v>
      </c>
      <c r="AC354">
        <f t="shared" si="329"/>
        <v>0</v>
      </c>
      <c r="AD354">
        <f>ROUND((((ET354)-(EU354))+AE354),2)</f>
        <v>0</v>
      </c>
      <c r="AE354">
        <f t="shared" si="330"/>
        <v>0</v>
      </c>
      <c r="AF354">
        <f t="shared" si="330"/>
        <v>0</v>
      </c>
      <c r="AG354">
        <f t="shared" si="308"/>
        <v>0</v>
      </c>
      <c r="AH354">
        <f t="shared" si="331"/>
        <v>0</v>
      </c>
      <c r="AI354">
        <f t="shared" si="331"/>
        <v>0</v>
      </c>
      <c r="AJ354">
        <f t="shared" si="309"/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115</v>
      </c>
      <c r="AU354">
        <v>71</v>
      </c>
      <c r="AV354">
        <v>1</v>
      </c>
      <c r="AW354">
        <v>1</v>
      </c>
      <c r="AZ354">
        <v>6.13</v>
      </c>
      <c r="BA354">
        <v>1</v>
      </c>
      <c r="BB354">
        <v>1</v>
      </c>
      <c r="BC354">
        <v>6.13</v>
      </c>
      <c r="BD354" t="s">
        <v>3</v>
      </c>
      <c r="BE354" t="s">
        <v>3</v>
      </c>
      <c r="BF354" t="s">
        <v>3</v>
      </c>
      <c r="BG354" t="s">
        <v>3</v>
      </c>
      <c r="BH354">
        <v>3</v>
      </c>
      <c r="BI354">
        <v>1</v>
      </c>
      <c r="BJ354" t="s">
        <v>3</v>
      </c>
      <c r="BM354">
        <v>16001</v>
      </c>
      <c r="BN354">
        <v>0</v>
      </c>
      <c r="BO354" t="s">
        <v>3</v>
      </c>
      <c r="BP354">
        <v>0</v>
      </c>
      <c r="BQ354">
        <v>2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128</v>
      </c>
      <c r="CA354">
        <v>83</v>
      </c>
      <c r="CF354">
        <v>0</v>
      </c>
      <c r="CG354">
        <v>0</v>
      </c>
      <c r="CM354">
        <v>0</v>
      </c>
      <c r="CN354" t="s">
        <v>3</v>
      </c>
      <c r="CO354">
        <v>0</v>
      </c>
      <c r="CP354">
        <f t="shared" si="310"/>
        <v>0</v>
      </c>
      <c r="CQ354">
        <f t="shared" si="311"/>
        <v>0</v>
      </c>
      <c r="CR354">
        <f t="shared" si="312"/>
        <v>0</v>
      </c>
      <c r="CS354">
        <f t="shared" si="313"/>
        <v>0</v>
      </c>
      <c r="CT354">
        <f t="shared" si="314"/>
        <v>0</v>
      </c>
      <c r="CU354">
        <f t="shared" si="315"/>
        <v>0</v>
      </c>
      <c r="CV354">
        <f t="shared" si="316"/>
        <v>0</v>
      </c>
      <c r="CW354">
        <f t="shared" si="317"/>
        <v>0</v>
      </c>
      <c r="CX354">
        <f t="shared" si="318"/>
        <v>0</v>
      </c>
      <c r="CY354">
        <f t="shared" si="319"/>
        <v>0</v>
      </c>
      <c r="CZ354">
        <f t="shared" si="320"/>
        <v>0</v>
      </c>
      <c r="DC354" t="s">
        <v>3</v>
      </c>
      <c r="DD354" t="s">
        <v>3</v>
      </c>
      <c r="DE354" t="s">
        <v>3</v>
      </c>
      <c r="DF354" t="s">
        <v>3</v>
      </c>
      <c r="DG354" t="s">
        <v>3</v>
      </c>
      <c r="DH354" t="s">
        <v>3</v>
      </c>
      <c r="DI354" t="s">
        <v>3</v>
      </c>
      <c r="DJ354" t="s">
        <v>3</v>
      </c>
      <c r="DK354" t="s">
        <v>3</v>
      </c>
      <c r="DL354" t="s">
        <v>3</v>
      </c>
      <c r="DM354" t="s">
        <v>3</v>
      </c>
      <c r="DN354">
        <v>0</v>
      </c>
      <c r="DO354">
        <v>0</v>
      </c>
      <c r="DP354">
        <v>1</v>
      </c>
      <c r="DQ354">
        <v>1</v>
      </c>
      <c r="DU354">
        <v>1003</v>
      </c>
      <c r="DV354" t="s">
        <v>74</v>
      </c>
      <c r="DW354" t="s">
        <v>74</v>
      </c>
      <c r="DX354">
        <v>1</v>
      </c>
      <c r="EE354">
        <v>39174530</v>
      </c>
      <c r="EF354">
        <v>2</v>
      </c>
      <c r="EG354" t="s">
        <v>13</v>
      </c>
      <c r="EH354">
        <v>0</v>
      </c>
      <c r="EI354" t="s">
        <v>3</v>
      </c>
      <c r="EJ354">
        <v>1</v>
      </c>
      <c r="EK354">
        <v>16001</v>
      </c>
      <c r="EL354" t="s">
        <v>519</v>
      </c>
      <c r="EM354" t="s">
        <v>520</v>
      </c>
      <c r="EO354" t="s">
        <v>3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21"/>
        <v>0</v>
      </c>
      <c r="FS354">
        <v>0</v>
      </c>
      <c r="FT354" t="s">
        <v>29</v>
      </c>
      <c r="FU354" t="s">
        <v>30</v>
      </c>
      <c r="FX354">
        <v>115.2</v>
      </c>
      <c r="FY354">
        <v>70.55</v>
      </c>
      <c r="GA354" t="s">
        <v>3</v>
      </c>
      <c r="GD354">
        <v>0</v>
      </c>
      <c r="GF354">
        <v>1859451840</v>
      </c>
      <c r="GG354">
        <v>1</v>
      </c>
      <c r="GH354">
        <v>1</v>
      </c>
      <c r="GI354">
        <v>4</v>
      </c>
      <c r="GJ354">
        <v>0</v>
      </c>
      <c r="GK354">
        <f>ROUND(R354*(R12)/100,2)</f>
        <v>0</v>
      </c>
      <c r="GL354">
        <f t="shared" si="322"/>
        <v>0</v>
      </c>
      <c r="GM354">
        <f t="shared" si="323"/>
        <v>0</v>
      </c>
      <c r="GN354">
        <f t="shared" si="324"/>
        <v>0</v>
      </c>
      <c r="GO354">
        <f t="shared" si="325"/>
        <v>0</v>
      </c>
      <c r="GP354">
        <f t="shared" si="326"/>
        <v>0</v>
      </c>
      <c r="GR354">
        <v>0</v>
      </c>
      <c r="GS354">
        <v>3</v>
      </c>
      <c r="GT354">
        <v>0</v>
      </c>
      <c r="GU354" t="s">
        <v>3</v>
      </c>
      <c r="GV354">
        <f t="shared" si="327"/>
        <v>0</v>
      </c>
      <c r="GW354">
        <v>1</v>
      </c>
      <c r="GX354">
        <f t="shared" si="328"/>
        <v>0</v>
      </c>
      <c r="HA354">
        <v>0</v>
      </c>
      <c r="HB354">
        <v>0</v>
      </c>
      <c r="IK354">
        <v>0</v>
      </c>
    </row>
    <row r="355" spans="1:245" x14ac:dyDescent="0.2">
      <c r="A355">
        <v>17</v>
      </c>
      <c r="B355">
        <v>1</v>
      </c>
      <c r="E355" t="s">
        <v>710</v>
      </c>
      <c r="F355" t="s">
        <v>711</v>
      </c>
      <c r="G355" t="s">
        <v>712</v>
      </c>
      <c r="H355" t="s">
        <v>713</v>
      </c>
      <c r="I355">
        <v>4</v>
      </c>
      <c r="J355">
        <v>0</v>
      </c>
      <c r="O355">
        <f t="shared" si="296"/>
        <v>0</v>
      </c>
      <c r="P355">
        <f t="shared" si="297"/>
        <v>0</v>
      </c>
      <c r="Q355">
        <f t="shared" si="298"/>
        <v>0</v>
      </c>
      <c r="R355">
        <f t="shared" si="299"/>
        <v>0</v>
      </c>
      <c r="S355">
        <f t="shared" si="300"/>
        <v>0</v>
      </c>
      <c r="T355">
        <f t="shared" si="301"/>
        <v>0</v>
      </c>
      <c r="U355">
        <f t="shared" si="302"/>
        <v>0</v>
      </c>
      <c r="V355">
        <f t="shared" si="303"/>
        <v>0</v>
      </c>
      <c r="W355">
        <f t="shared" si="304"/>
        <v>0</v>
      </c>
      <c r="X355">
        <f t="shared" si="305"/>
        <v>0</v>
      </c>
      <c r="Y355">
        <f t="shared" si="306"/>
        <v>0</v>
      </c>
      <c r="AA355">
        <v>39476960</v>
      </c>
      <c r="AB355">
        <f t="shared" si="307"/>
        <v>0</v>
      </c>
      <c r="AC355">
        <f t="shared" si="329"/>
        <v>0</v>
      </c>
      <c r="AD355">
        <f>ROUND(((ET355)+ROUND(((EU355)*1.6),2)),2)</f>
        <v>0</v>
      </c>
      <c r="AE355">
        <f>ROUND(((EU355)+ROUND(((EU355)*1.6),2)),2)</f>
        <v>0</v>
      </c>
      <c r="AF355">
        <f>ROUND(((EV355)+ROUND(((EV355)*1.6),2)),2)</f>
        <v>0</v>
      </c>
      <c r="AG355">
        <f t="shared" si="308"/>
        <v>0</v>
      </c>
      <c r="AH355">
        <f t="shared" si="331"/>
        <v>0</v>
      </c>
      <c r="AI355">
        <f t="shared" si="331"/>
        <v>0</v>
      </c>
      <c r="AJ355">
        <f t="shared" si="309"/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1</v>
      </c>
      <c r="AW355">
        <v>1</v>
      </c>
      <c r="AZ355">
        <v>6.13</v>
      </c>
      <c r="BA355">
        <v>6.13</v>
      </c>
      <c r="BB355">
        <v>6.13</v>
      </c>
      <c r="BC355">
        <v>6.13</v>
      </c>
      <c r="BD355" t="s">
        <v>3</v>
      </c>
      <c r="BE355" t="s">
        <v>3</v>
      </c>
      <c r="BF355" t="s">
        <v>3</v>
      </c>
      <c r="BG355" t="s">
        <v>3</v>
      </c>
      <c r="BH355">
        <v>0</v>
      </c>
      <c r="BI355">
        <v>1</v>
      </c>
      <c r="BJ355" t="s">
        <v>714</v>
      </c>
      <c r="BM355">
        <v>700004</v>
      </c>
      <c r="BN355">
        <v>0</v>
      </c>
      <c r="BO355" t="s">
        <v>3</v>
      </c>
      <c r="BP355">
        <v>0</v>
      </c>
      <c r="BQ355">
        <v>19</v>
      </c>
      <c r="BR355">
        <v>0</v>
      </c>
      <c r="BS355">
        <v>6.13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3</v>
      </c>
      <c r="BZ355">
        <v>0</v>
      </c>
      <c r="CA355">
        <v>0</v>
      </c>
      <c r="CF355">
        <v>0</v>
      </c>
      <c r="CG355">
        <v>0</v>
      </c>
      <c r="CM355">
        <v>0</v>
      </c>
      <c r="CN355" t="s">
        <v>3</v>
      </c>
      <c r="CO355">
        <v>0</v>
      </c>
      <c r="CP355">
        <f t="shared" si="310"/>
        <v>0</v>
      </c>
      <c r="CQ355">
        <f t="shared" si="311"/>
        <v>0</v>
      </c>
      <c r="CR355">
        <f t="shared" si="312"/>
        <v>0</v>
      </c>
      <c r="CS355">
        <f t="shared" si="313"/>
        <v>0</v>
      </c>
      <c r="CT355">
        <f t="shared" si="314"/>
        <v>0</v>
      </c>
      <c r="CU355">
        <f t="shared" si="315"/>
        <v>0</v>
      </c>
      <c r="CV355">
        <f t="shared" si="316"/>
        <v>0</v>
      </c>
      <c r="CW355">
        <f t="shared" si="317"/>
        <v>0</v>
      </c>
      <c r="CX355">
        <f t="shared" si="318"/>
        <v>0</v>
      </c>
      <c r="CY355">
        <f t="shared" si="319"/>
        <v>0</v>
      </c>
      <c r="CZ355">
        <f t="shared" si="320"/>
        <v>0</v>
      </c>
      <c r="DC355" t="s">
        <v>3</v>
      </c>
      <c r="DD355" t="s">
        <v>3</v>
      </c>
      <c r="DE355" t="s">
        <v>3</v>
      </c>
      <c r="DF355" t="s">
        <v>3</v>
      </c>
      <c r="DG355" t="s">
        <v>3</v>
      </c>
      <c r="DH355" t="s">
        <v>3</v>
      </c>
      <c r="DI355" t="s">
        <v>3</v>
      </c>
      <c r="DJ355" t="s">
        <v>3</v>
      </c>
      <c r="DK355" t="s">
        <v>3</v>
      </c>
      <c r="DL355" t="s">
        <v>3</v>
      </c>
      <c r="DM355" t="s">
        <v>3</v>
      </c>
      <c r="DN355">
        <v>0</v>
      </c>
      <c r="DO355">
        <v>0</v>
      </c>
      <c r="DP355">
        <v>1</v>
      </c>
      <c r="DQ355">
        <v>1</v>
      </c>
      <c r="DU355">
        <v>1013</v>
      </c>
      <c r="DV355" t="s">
        <v>713</v>
      </c>
      <c r="DW355" t="s">
        <v>713</v>
      </c>
      <c r="DX355">
        <v>1</v>
      </c>
      <c r="EE355">
        <v>39174691</v>
      </c>
      <c r="EF355">
        <v>19</v>
      </c>
      <c r="EG355" t="s">
        <v>715</v>
      </c>
      <c r="EH355">
        <v>0</v>
      </c>
      <c r="EI355" t="s">
        <v>3</v>
      </c>
      <c r="EJ355">
        <v>1</v>
      </c>
      <c r="EK355">
        <v>700004</v>
      </c>
      <c r="EL355" t="s">
        <v>716</v>
      </c>
      <c r="EM355" t="s">
        <v>717</v>
      </c>
      <c r="EO355" t="s">
        <v>3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FQ355">
        <v>0</v>
      </c>
      <c r="FR355">
        <f t="shared" si="321"/>
        <v>0</v>
      </c>
      <c r="FS355">
        <v>0</v>
      </c>
      <c r="FX355">
        <v>0</v>
      </c>
      <c r="FY355">
        <v>0</v>
      </c>
      <c r="GA355" t="s">
        <v>3</v>
      </c>
      <c r="GD355">
        <v>0</v>
      </c>
      <c r="GF355">
        <v>68385352</v>
      </c>
      <c r="GG355">
        <v>1</v>
      </c>
      <c r="GH355">
        <v>1</v>
      </c>
      <c r="GI355">
        <v>4</v>
      </c>
      <c r="GJ355">
        <v>0</v>
      </c>
      <c r="GK355">
        <f>ROUND(R355*(R12)/100,2)</f>
        <v>0</v>
      </c>
      <c r="GL355">
        <f t="shared" si="322"/>
        <v>0</v>
      </c>
      <c r="GM355">
        <f t="shared" si="323"/>
        <v>0</v>
      </c>
      <c r="GN355">
        <f t="shared" si="324"/>
        <v>0</v>
      </c>
      <c r="GO355">
        <f t="shared" si="325"/>
        <v>0</v>
      </c>
      <c r="GP355">
        <f t="shared" si="326"/>
        <v>0</v>
      </c>
      <c r="GR355">
        <v>0</v>
      </c>
      <c r="GS355">
        <v>3</v>
      </c>
      <c r="GT355">
        <v>0</v>
      </c>
      <c r="GU355" t="s">
        <v>3</v>
      </c>
      <c r="GV355">
        <f t="shared" si="327"/>
        <v>0</v>
      </c>
      <c r="GW355">
        <v>1</v>
      </c>
      <c r="GX355">
        <f t="shared" si="328"/>
        <v>0</v>
      </c>
      <c r="HA355">
        <v>0</v>
      </c>
      <c r="HB355">
        <v>0</v>
      </c>
      <c r="IK355">
        <v>0</v>
      </c>
    </row>
    <row r="356" spans="1:245" x14ac:dyDescent="0.2">
      <c r="A356">
        <v>17</v>
      </c>
      <c r="B356">
        <v>1</v>
      </c>
      <c r="E356" t="s">
        <v>718</v>
      </c>
      <c r="F356" t="s">
        <v>719</v>
      </c>
      <c r="G356" t="s">
        <v>720</v>
      </c>
      <c r="H356" t="s">
        <v>713</v>
      </c>
      <c r="I356">
        <v>4</v>
      </c>
      <c r="J356">
        <v>0</v>
      </c>
      <c r="O356">
        <f t="shared" si="296"/>
        <v>0</v>
      </c>
      <c r="P356">
        <f t="shared" si="297"/>
        <v>0</v>
      </c>
      <c r="Q356">
        <f t="shared" si="298"/>
        <v>0</v>
      </c>
      <c r="R356">
        <f t="shared" si="299"/>
        <v>0</v>
      </c>
      <c r="S356">
        <f t="shared" si="300"/>
        <v>0</v>
      </c>
      <c r="T356">
        <f t="shared" si="301"/>
        <v>0</v>
      </c>
      <c r="U356">
        <f t="shared" si="302"/>
        <v>0</v>
      </c>
      <c r="V356">
        <f t="shared" si="303"/>
        <v>0</v>
      </c>
      <c r="W356">
        <f t="shared" si="304"/>
        <v>0</v>
      </c>
      <c r="X356">
        <f t="shared" si="305"/>
        <v>0</v>
      </c>
      <c r="Y356">
        <f t="shared" si="306"/>
        <v>0</v>
      </c>
      <c r="AA356">
        <v>39476960</v>
      </c>
      <c r="AB356">
        <f t="shared" si="307"/>
        <v>0</v>
      </c>
      <c r="AC356">
        <f t="shared" si="329"/>
        <v>0</v>
      </c>
      <c r="AD356">
        <f>ROUND((((ET356)-(EU356))+AE356),2)</f>
        <v>0</v>
      </c>
      <c r="AE356">
        <f>ROUND((EU356),2)</f>
        <v>0</v>
      </c>
      <c r="AF356">
        <f>ROUND((EV356),2)</f>
        <v>0</v>
      </c>
      <c r="AG356">
        <f t="shared" si="308"/>
        <v>0</v>
      </c>
      <c r="AH356">
        <f t="shared" si="331"/>
        <v>0</v>
      </c>
      <c r="AI356">
        <f t="shared" si="331"/>
        <v>0</v>
      </c>
      <c r="AJ356">
        <f t="shared" si="309"/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1</v>
      </c>
      <c r="AW356">
        <v>1</v>
      </c>
      <c r="AZ356">
        <v>1</v>
      </c>
      <c r="BA356">
        <v>6.13</v>
      </c>
      <c r="BB356">
        <v>1</v>
      </c>
      <c r="BC356">
        <v>6.13</v>
      </c>
      <c r="BD356" t="s">
        <v>3</v>
      </c>
      <c r="BE356" t="s">
        <v>3</v>
      </c>
      <c r="BF356" t="s">
        <v>3</v>
      </c>
      <c r="BG356" t="s">
        <v>3</v>
      </c>
      <c r="BH356">
        <v>0</v>
      </c>
      <c r="BI356">
        <v>1</v>
      </c>
      <c r="BJ356" t="s">
        <v>721</v>
      </c>
      <c r="BM356">
        <v>700005</v>
      </c>
      <c r="BN356">
        <v>0</v>
      </c>
      <c r="BO356" t="s">
        <v>3</v>
      </c>
      <c r="BP356">
        <v>0</v>
      </c>
      <c r="BQ356">
        <v>10</v>
      </c>
      <c r="BR356">
        <v>0</v>
      </c>
      <c r="BS356">
        <v>6.13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0</v>
      </c>
      <c r="CA356">
        <v>0</v>
      </c>
      <c r="CF356">
        <v>0</v>
      </c>
      <c r="CG356">
        <v>0</v>
      </c>
      <c r="CM356">
        <v>0</v>
      </c>
      <c r="CN356" t="s">
        <v>3</v>
      </c>
      <c r="CO356">
        <v>0</v>
      </c>
      <c r="CP356">
        <f t="shared" si="310"/>
        <v>0</v>
      </c>
      <c r="CQ356">
        <f t="shared" si="311"/>
        <v>0</v>
      </c>
      <c r="CR356">
        <f t="shared" si="312"/>
        <v>0</v>
      </c>
      <c r="CS356">
        <f t="shared" si="313"/>
        <v>0</v>
      </c>
      <c r="CT356">
        <f t="shared" si="314"/>
        <v>0</v>
      </c>
      <c r="CU356">
        <f t="shared" si="315"/>
        <v>0</v>
      </c>
      <c r="CV356">
        <f t="shared" si="316"/>
        <v>0</v>
      </c>
      <c r="CW356">
        <f t="shared" si="317"/>
        <v>0</v>
      </c>
      <c r="CX356">
        <f t="shared" si="318"/>
        <v>0</v>
      </c>
      <c r="CY356">
        <f>0</f>
        <v>0</v>
      </c>
      <c r="CZ356">
        <f>0</f>
        <v>0</v>
      </c>
      <c r="DC356" t="s">
        <v>3</v>
      </c>
      <c r="DD356" t="s">
        <v>3</v>
      </c>
      <c r="DE356" t="s">
        <v>3</v>
      </c>
      <c r="DF356" t="s">
        <v>3</v>
      </c>
      <c r="DG356" t="s">
        <v>3</v>
      </c>
      <c r="DH356" t="s">
        <v>3</v>
      </c>
      <c r="DI356" t="s">
        <v>3</v>
      </c>
      <c r="DJ356" t="s">
        <v>3</v>
      </c>
      <c r="DK356" t="s">
        <v>3</v>
      </c>
      <c r="DL356" t="s">
        <v>3</v>
      </c>
      <c r="DM356" t="s">
        <v>3</v>
      </c>
      <c r="DN356">
        <v>0</v>
      </c>
      <c r="DO356">
        <v>0</v>
      </c>
      <c r="DP356">
        <v>1</v>
      </c>
      <c r="DQ356">
        <v>1</v>
      </c>
      <c r="DU356">
        <v>1013</v>
      </c>
      <c r="DV356" t="s">
        <v>713</v>
      </c>
      <c r="DW356" t="s">
        <v>713</v>
      </c>
      <c r="DX356">
        <v>1</v>
      </c>
      <c r="EE356">
        <v>39174695</v>
      </c>
      <c r="EF356">
        <v>10</v>
      </c>
      <c r="EG356" t="s">
        <v>722</v>
      </c>
      <c r="EH356">
        <v>0</v>
      </c>
      <c r="EI356" t="s">
        <v>3</v>
      </c>
      <c r="EJ356">
        <v>1</v>
      </c>
      <c r="EK356">
        <v>700005</v>
      </c>
      <c r="EL356" t="s">
        <v>723</v>
      </c>
      <c r="EM356" t="s">
        <v>724</v>
      </c>
      <c r="EO356" t="s">
        <v>3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FQ356">
        <v>0</v>
      </c>
      <c r="FR356">
        <f t="shared" si="321"/>
        <v>0</v>
      </c>
      <c r="FS356">
        <v>0</v>
      </c>
      <c r="FX356">
        <v>0</v>
      </c>
      <c r="FY356">
        <v>0</v>
      </c>
      <c r="GA356" t="s">
        <v>3</v>
      </c>
      <c r="GD356">
        <v>0</v>
      </c>
      <c r="GF356">
        <v>-894899833</v>
      </c>
      <c r="GG356">
        <v>1</v>
      </c>
      <c r="GH356">
        <v>1</v>
      </c>
      <c r="GI356">
        <v>4</v>
      </c>
      <c r="GJ356">
        <v>0</v>
      </c>
      <c r="GK356">
        <f>ROUND(R356*(R12)/100,2)</f>
        <v>0</v>
      </c>
      <c r="GL356">
        <f t="shared" si="322"/>
        <v>0</v>
      </c>
      <c r="GM356">
        <f t="shared" si="323"/>
        <v>0</v>
      </c>
      <c r="GN356">
        <f t="shared" si="324"/>
        <v>0</v>
      </c>
      <c r="GO356">
        <f t="shared" si="325"/>
        <v>0</v>
      </c>
      <c r="GP356">
        <f t="shared" si="326"/>
        <v>0</v>
      </c>
      <c r="GR356">
        <v>0</v>
      </c>
      <c r="GS356">
        <v>3</v>
      </c>
      <c r="GT356">
        <v>0</v>
      </c>
      <c r="GU356" t="s">
        <v>3</v>
      </c>
      <c r="GV356">
        <f t="shared" si="327"/>
        <v>0</v>
      </c>
      <c r="GW356">
        <v>1</v>
      </c>
      <c r="GX356">
        <f t="shared" si="328"/>
        <v>0</v>
      </c>
      <c r="HA356">
        <v>0</v>
      </c>
      <c r="HB356">
        <v>0</v>
      </c>
      <c r="IK356">
        <v>0</v>
      </c>
    </row>
    <row r="358" spans="1:245" x14ac:dyDescent="0.2">
      <c r="A358" s="2">
        <v>51</v>
      </c>
      <c r="B358" s="2">
        <f>B342</f>
        <v>1</v>
      </c>
      <c r="C358" s="2">
        <f>A342</f>
        <v>4</v>
      </c>
      <c r="D358" s="2">
        <f>ROW(A342)</f>
        <v>342</v>
      </c>
      <c r="E358" s="2"/>
      <c r="F358" s="2" t="str">
        <f>IF(F342&lt;&gt;"",F342,"")</f>
        <v>Новый раздел</v>
      </c>
      <c r="G358" s="2" t="str">
        <f>IF(G342&lt;&gt;"",G342,"")</f>
        <v>Система отопления</v>
      </c>
      <c r="H358" s="2">
        <v>0</v>
      </c>
      <c r="I358" s="2"/>
      <c r="J358" s="2"/>
      <c r="K358" s="2"/>
      <c r="L358" s="2"/>
      <c r="M358" s="2"/>
      <c r="N358" s="2"/>
      <c r="O358" s="2">
        <f t="shared" ref="O358:T358" si="332">ROUND(AB358,2)</f>
        <v>23211.84</v>
      </c>
      <c r="P358" s="2">
        <f t="shared" si="332"/>
        <v>16508.14</v>
      </c>
      <c r="Q358" s="2">
        <f t="shared" si="332"/>
        <v>382.15</v>
      </c>
      <c r="R358" s="2">
        <f t="shared" si="332"/>
        <v>80.95</v>
      </c>
      <c r="S358" s="2">
        <f t="shared" si="332"/>
        <v>6321.55</v>
      </c>
      <c r="T358" s="2">
        <f t="shared" si="332"/>
        <v>0</v>
      </c>
      <c r="U358" s="2">
        <f>AH358</f>
        <v>108.38293279999999</v>
      </c>
      <c r="V358" s="2">
        <f>AI358</f>
        <v>1.0692719999999998</v>
      </c>
      <c r="W358" s="2">
        <f>ROUND(AJ358,2)</f>
        <v>0</v>
      </c>
      <c r="X358" s="2">
        <f>ROUND(AK358,2)</f>
        <v>7072.33</v>
      </c>
      <c r="Y358" s="2">
        <f>ROUND(AL358,2)</f>
        <v>4396.96</v>
      </c>
      <c r="Z358" s="2"/>
      <c r="AA358" s="2"/>
      <c r="AB358" s="2">
        <f>ROUND(SUMIF(AA346:AA356,"=39476960",O346:O356),2)</f>
        <v>23211.84</v>
      </c>
      <c r="AC358" s="2">
        <f>ROUND(SUMIF(AA346:AA356,"=39476960",P346:P356),2)</f>
        <v>16508.14</v>
      </c>
      <c r="AD358" s="2">
        <f>ROUND(SUMIF(AA346:AA356,"=39476960",Q346:Q356),2)</f>
        <v>382.15</v>
      </c>
      <c r="AE358" s="2">
        <f>ROUND(SUMIF(AA346:AA356,"=39476960",R346:R356),2)</f>
        <v>80.95</v>
      </c>
      <c r="AF358" s="2">
        <f>ROUND(SUMIF(AA346:AA356,"=39476960",S346:S356),2)</f>
        <v>6321.55</v>
      </c>
      <c r="AG358" s="2">
        <f>ROUND(SUMIF(AA346:AA356,"=39476960",T346:T356),2)</f>
        <v>0</v>
      </c>
      <c r="AH358" s="2">
        <f>SUMIF(AA346:AA356,"=39476960",U346:U356)</f>
        <v>108.38293279999999</v>
      </c>
      <c r="AI358" s="2">
        <f>SUMIF(AA346:AA356,"=39476960",V346:V356)</f>
        <v>1.0692719999999998</v>
      </c>
      <c r="AJ358" s="2">
        <f>ROUND(SUMIF(AA346:AA356,"=39476960",W346:W356),2)</f>
        <v>0</v>
      </c>
      <c r="AK358" s="2">
        <f>ROUND(SUMIF(AA346:AA356,"=39476960",X346:X356),2)</f>
        <v>7072.33</v>
      </c>
      <c r="AL358" s="2">
        <f>ROUND(SUMIF(AA346:AA356,"=39476960",Y346:Y356),2)</f>
        <v>4396.96</v>
      </c>
      <c r="AM358" s="2"/>
      <c r="AN358" s="2"/>
      <c r="AO358" s="2">
        <f t="shared" ref="AO358:BC358" si="333">ROUND(BX358,2)</f>
        <v>0</v>
      </c>
      <c r="AP358" s="2">
        <f t="shared" si="333"/>
        <v>0</v>
      </c>
      <c r="AQ358" s="2">
        <f t="shared" si="333"/>
        <v>0</v>
      </c>
      <c r="AR358" s="2">
        <f t="shared" si="333"/>
        <v>34681.129999999997</v>
      </c>
      <c r="AS358" s="2">
        <f t="shared" si="333"/>
        <v>34681.129999999997</v>
      </c>
      <c r="AT358" s="2">
        <f t="shared" si="333"/>
        <v>0</v>
      </c>
      <c r="AU358" s="2">
        <f t="shared" si="333"/>
        <v>0</v>
      </c>
      <c r="AV358" s="2">
        <f t="shared" si="333"/>
        <v>16508.14</v>
      </c>
      <c r="AW358" s="2">
        <f t="shared" si="333"/>
        <v>16508.14</v>
      </c>
      <c r="AX358" s="2">
        <f t="shared" si="333"/>
        <v>0</v>
      </c>
      <c r="AY358" s="2">
        <f t="shared" si="333"/>
        <v>16508.14</v>
      </c>
      <c r="AZ358" s="2">
        <f t="shared" si="333"/>
        <v>0</v>
      </c>
      <c r="BA358" s="2">
        <f t="shared" si="333"/>
        <v>0</v>
      </c>
      <c r="BB358" s="2">
        <f t="shared" si="333"/>
        <v>0</v>
      </c>
      <c r="BC358" s="2">
        <f t="shared" si="333"/>
        <v>0</v>
      </c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>
        <f>ROUND(SUMIF(AA346:AA356,"=39476960",FQ346:FQ356),2)</f>
        <v>0</v>
      </c>
      <c r="BY358" s="2">
        <f>ROUND(SUMIF(AA346:AA356,"=39476960",FR346:FR356),2)</f>
        <v>0</v>
      </c>
      <c r="BZ358" s="2">
        <f>ROUND(SUMIF(AA346:AA356,"=39476960",GL346:GL356),2)</f>
        <v>0</v>
      </c>
      <c r="CA358" s="2">
        <f>ROUND(SUMIF(AA346:AA356,"=39476960",GM346:GM356),2)</f>
        <v>34681.129999999997</v>
      </c>
      <c r="CB358" s="2">
        <f>ROUND(SUMIF(AA346:AA356,"=39476960",GN346:GN356),2)</f>
        <v>34681.129999999997</v>
      </c>
      <c r="CC358" s="2">
        <f>ROUND(SUMIF(AA346:AA356,"=39476960",GO346:GO356),2)</f>
        <v>0</v>
      </c>
      <c r="CD358" s="2">
        <f>ROUND(SUMIF(AA346:AA356,"=39476960",GP346:GP356),2)</f>
        <v>0</v>
      </c>
      <c r="CE358" s="2">
        <f>AC358-BX358</f>
        <v>16508.14</v>
      </c>
      <c r="CF358" s="2">
        <f>AC358-BY358</f>
        <v>16508.14</v>
      </c>
      <c r="CG358" s="2">
        <f>BX358-BZ358</f>
        <v>0</v>
      </c>
      <c r="CH358" s="2">
        <f>AC358-BX358-BY358+BZ358</f>
        <v>16508.14</v>
      </c>
      <c r="CI358" s="2">
        <f>BY358-BZ358</f>
        <v>0</v>
      </c>
      <c r="CJ358" s="2">
        <f>ROUND(SUMIF(AA346:AA356,"=39476960",GX346:GX356),2)</f>
        <v>0</v>
      </c>
      <c r="CK358" s="2">
        <f>ROUND(SUMIF(AA346:AA356,"=39476960",GY346:GY356),2)</f>
        <v>0</v>
      </c>
      <c r="CL358" s="2">
        <f>ROUND(SUMIF(AA346:AA356,"=39476960",GZ346:GZ356),2)</f>
        <v>0</v>
      </c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>
        <v>0</v>
      </c>
    </row>
    <row r="360" spans="1:245" x14ac:dyDescent="0.2">
      <c r="A360" s="4">
        <v>50</v>
      </c>
      <c r="B360" s="4">
        <v>0</v>
      </c>
      <c r="C360" s="4">
        <v>0</v>
      </c>
      <c r="D360" s="4">
        <v>1</v>
      </c>
      <c r="E360" s="4">
        <v>201</v>
      </c>
      <c r="F360" s="4">
        <f>ROUND(Source!O358,O360)</f>
        <v>23211.84</v>
      </c>
      <c r="G360" s="4" t="s">
        <v>313</v>
      </c>
      <c r="H360" s="4" t="s">
        <v>314</v>
      </c>
      <c r="I360" s="4"/>
      <c r="J360" s="4"/>
      <c r="K360" s="4">
        <v>201</v>
      </c>
      <c r="L360" s="4">
        <v>1</v>
      </c>
      <c r="M360" s="4">
        <v>3</v>
      </c>
      <c r="N360" s="4" t="s">
        <v>3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45" x14ac:dyDescent="0.2">
      <c r="A361" s="4">
        <v>50</v>
      </c>
      <c r="B361" s="4">
        <v>0</v>
      </c>
      <c r="C361" s="4">
        <v>0</v>
      </c>
      <c r="D361" s="4">
        <v>1</v>
      </c>
      <c r="E361" s="4">
        <v>202</v>
      </c>
      <c r="F361" s="4">
        <f>ROUND(Source!P358,O361)</f>
        <v>16508.14</v>
      </c>
      <c r="G361" s="4" t="s">
        <v>315</v>
      </c>
      <c r="H361" s="4" t="s">
        <v>316</v>
      </c>
      <c r="I361" s="4"/>
      <c r="J361" s="4"/>
      <c r="K361" s="4">
        <v>202</v>
      </c>
      <c r="L361" s="4">
        <v>2</v>
      </c>
      <c r="M361" s="4">
        <v>3</v>
      </c>
      <c r="N361" s="4" t="s">
        <v>3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45" x14ac:dyDescent="0.2">
      <c r="A362" s="4">
        <v>50</v>
      </c>
      <c r="B362" s="4">
        <v>0</v>
      </c>
      <c r="C362" s="4">
        <v>0</v>
      </c>
      <c r="D362" s="4">
        <v>1</v>
      </c>
      <c r="E362" s="4">
        <v>222</v>
      </c>
      <c r="F362" s="4">
        <f>ROUND(Source!AO358,O362)</f>
        <v>0</v>
      </c>
      <c r="G362" s="4" t="s">
        <v>317</v>
      </c>
      <c r="H362" s="4" t="s">
        <v>318</v>
      </c>
      <c r="I362" s="4"/>
      <c r="J362" s="4"/>
      <c r="K362" s="4">
        <v>222</v>
      </c>
      <c r="L362" s="4">
        <v>3</v>
      </c>
      <c r="M362" s="4">
        <v>3</v>
      </c>
      <c r="N362" s="4" t="s">
        <v>3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45" x14ac:dyDescent="0.2">
      <c r="A363" s="4">
        <v>50</v>
      </c>
      <c r="B363" s="4">
        <v>0</v>
      </c>
      <c r="C363" s="4">
        <v>0</v>
      </c>
      <c r="D363" s="4">
        <v>1</v>
      </c>
      <c r="E363" s="4">
        <v>225</v>
      </c>
      <c r="F363" s="4">
        <f>ROUND(Source!AV358,O363)</f>
        <v>16508.14</v>
      </c>
      <c r="G363" s="4" t="s">
        <v>319</v>
      </c>
      <c r="H363" s="4" t="s">
        <v>320</v>
      </c>
      <c r="I363" s="4"/>
      <c r="J363" s="4"/>
      <c r="K363" s="4">
        <v>225</v>
      </c>
      <c r="L363" s="4">
        <v>4</v>
      </c>
      <c r="M363" s="4">
        <v>3</v>
      </c>
      <c r="N363" s="4" t="s">
        <v>3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45" x14ac:dyDescent="0.2">
      <c r="A364" s="4">
        <v>50</v>
      </c>
      <c r="B364" s="4">
        <v>0</v>
      </c>
      <c r="C364" s="4">
        <v>0</v>
      </c>
      <c r="D364" s="4">
        <v>1</v>
      </c>
      <c r="E364" s="4">
        <v>226</v>
      </c>
      <c r="F364" s="4">
        <f>ROUND(Source!AW358,O364)</f>
        <v>16508.14</v>
      </c>
      <c r="G364" s="4" t="s">
        <v>321</v>
      </c>
      <c r="H364" s="4" t="s">
        <v>322</v>
      </c>
      <c r="I364" s="4"/>
      <c r="J364" s="4"/>
      <c r="K364" s="4">
        <v>226</v>
      </c>
      <c r="L364" s="4">
        <v>5</v>
      </c>
      <c r="M364" s="4">
        <v>3</v>
      </c>
      <c r="N364" s="4" t="s">
        <v>3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45" x14ac:dyDescent="0.2">
      <c r="A365" s="4">
        <v>50</v>
      </c>
      <c r="B365" s="4">
        <v>0</v>
      </c>
      <c r="C365" s="4">
        <v>0</v>
      </c>
      <c r="D365" s="4">
        <v>1</v>
      </c>
      <c r="E365" s="4">
        <v>227</v>
      </c>
      <c r="F365" s="4">
        <f>ROUND(Source!AX358,O365)</f>
        <v>0</v>
      </c>
      <c r="G365" s="4" t="s">
        <v>323</v>
      </c>
      <c r="H365" s="4" t="s">
        <v>324</v>
      </c>
      <c r="I365" s="4"/>
      <c r="J365" s="4"/>
      <c r="K365" s="4">
        <v>227</v>
      </c>
      <c r="L365" s="4">
        <v>6</v>
      </c>
      <c r="M365" s="4">
        <v>3</v>
      </c>
      <c r="N365" s="4" t="s">
        <v>3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45" x14ac:dyDescent="0.2">
      <c r="A366" s="4">
        <v>50</v>
      </c>
      <c r="B366" s="4">
        <v>0</v>
      </c>
      <c r="C366" s="4">
        <v>0</v>
      </c>
      <c r="D366" s="4">
        <v>1</v>
      </c>
      <c r="E366" s="4">
        <v>228</v>
      </c>
      <c r="F366" s="4">
        <f>ROUND(Source!AY358,O366)</f>
        <v>16508.14</v>
      </c>
      <c r="G366" s="4" t="s">
        <v>325</v>
      </c>
      <c r="H366" s="4" t="s">
        <v>326</v>
      </c>
      <c r="I366" s="4"/>
      <c r="J366" s="4"/>
      <c r="K366" s="4">
        <v>228</v>
      </c>
      <c r="L366" s="4">
        <v>7</v>
      </c>
      <c r="M366" s="4">
        <v>3</v>
      </c>
      <c r="N366" s="4" t="s">
        <v>3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45" x14ac:dyDescent="0.2">
      <c r="A367" s="4">
        <v>50</v>
      </c>
      <c r="B367" s="4">
        <v>0</v>
      </c>
      <c r="C367" s="4">
        <v>0</v>
      </c>
      <c r="D367" s="4">
        <v>1</v>
      </c>
      <c r="E367" s="4">
        <v>216</v>
      </c>
      <c r="F367" s="4">
        <f>ROUND(Source!AP358,O367)</f>
        <v>0</v>
      </c>
      <c r="G367" s="4" t="s">
        <v>327</v>
      </c>
      <c r="H367" s="4" t="s">
        <v>328</v>
      </c>
      <c r="I367" s="4"/>
      <c r="J367" s="4"/>
      <c r="K367" s="4">
        <v>216</v>
      </c>
      <c r="L367" s="4">
        <v>8</v>
      </c>
      <c r="M367" s="4">
        <v>3</v>
      </c>
      <c r="N367" s="4" t="s">
        <v>3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45" x14ac:dyDescent="0.2">
      <c r="A368" s="4">
        <v>50</v>
      </c>
      <c r="B368" s="4">
        <v>0</v>
      </c>
      <c r="C368" s="4">
        <v>0</v>
      </c>
      <c r="D368" s="4">
        <v>1</v>
      </c>
      <c r="E368" s="4">
        <v>223</v>
      </c>
      <c r="F368" s="4">
        <f>ROUND(Source!AQ358,O368)</f>
        <v>0</v>
      </c>
      <c r="G368" s="4" t="s">
        <v>329</v>
      </c>
      <c r="H368" s="4" t="s">
        <v>330</v>
      </c>
      <c r="I368" s="4"/>
      <c r="J368" s="4"/>
      <c r="K368" s="4">
        <v>223</v>
      </c>
      <c r="L368" s="4">
        <v>9</v>
      </c>
      <c r="M368" s="4">
        <v>3</v>
      </c>
      <c r="N368" s="4" t="s">
        <v>3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3" x14ac:dyDescent="0.2">
      <c r="A369" s="4">
        <v>50</v>
      </c>
      <c r="B369" s="4">
        <v>0</v>
      </c>
      <c r="C369" s="4">
        <v>0</v>
      </c>
      <c r="D369" s="4">
        <v>1</v>
      </c>
      <c r="E369" s="4">
        <v>229</v>
      </c>
      <c r="F369" s="4">
        <f>ROUND(Source!AZ358,O369)</f>
        <v>0</v>
      </c>
      <c r="G369" s="4" t="s">
        <v>331</v>
      </c>
      <c r="H369" s="4" t="s">
        <v>332</v>
      </c>
      <c r="I369" s="4"/>
      <c r="J369" s="4"/>
      <c r="K369" s="4">
        <v>229</v>
      </c>
      <c r="L369" s="4">
        <v>10</v>
      </c>
      <c r="M369" s="4">
        <v>3</v>
      </c>
      <c r="N369" s="4" t="s">
        <v>3</v>
      </c>
      <c r="O369" s="4">
        <v>2</v>
      </c>
      <c r="P369" s="4"/>
      <c r="Q369" s="4"/>
      <c r="R369" s="4"/>
      <c r="S369" s="4"/>
      <c r="T369" s="4"/>
      <c r="U369" s="4"/>
      <c r="V369" s="4"/>
      <c r="W369" s="4"/>
    </row>
    <row r="370" spans="1:23" x14ac:dyDescent="0.2">
      <c r="A370" s="4">
        <v>50</v>
      </c>
      <c r="B370" s="4">
        <v>0</v>
      </c>
      <c r="C370" s="4">
        <v>0</v>
      </c>
      <c r="D370" s="4">
        <v>1</v>
      </c>
      <c r="E370" s="4">
        <v>203</v>
      </c>
      <c r="F370" s="4">
        <f>ROUND(Source!Q358,O370)</f>
        <v>382.15</v>
      </c>
      <c r="G370" s="4" t="s">
        <v>333</v>
      </c>
      <c r="H370" s="4" t="s">
        <v>334</v>
      </c>
      <c r="I370" s="4"/>
      <c r="J370" s="4"/>
      <c r="K370" s="4">
        <v>203</v>
      </c>
      <c r="L370" s="4">
        <v>11</v>
      </c>
      <c r="M370" s="4">
        <v>3</v>
      </c>
      <c r="N370" s="4" t="s">
        <v>3</v>
      </c>
      <c r="O370" s="4">
        <v>2</v>
      </c>
      <c r="P370" s="4"/>
      <c r="Q370" s="4"/>
      <c r="R370" s="4"/>
      <c r="S370" s="4"/>
      <c r="T370" s="4"/>
      <c r="U370" s="4"/>
      <c r="V370" s="4"/>
      <c r="W370" s="4"/>
    </row>
    <row r="371" spans="1:23" x14ac:dyDescent="0.2">
      <c r="A371" s="4">
        <v>50</v>
      </c>
      <c r="B371" s="4">
        <v>0</v>
      </c>
      <c r="C371" s="4">
        <v>0</v>
      </c>
      <c r="D371" s="4">
        <v>1</v>
      </c>
      <c r="E371" s="4">
        <v>231</v>
      </c>
      <c r="F371" s="4">
        <f>ROUND(Source!BB358,O371)</f>
        <v>0</v>
      </c>
      <c r="G371" s="4" t="s">
        <v>335</v>
      </c>
      <c r="H371" s="4" t="s">
        <v>336</v>
      </c>
      <c r="I371" s="4"/>
      <c r="J371" s="4"/>
      <c r="K371" s="4">
        <v>231</v>
      </c>
      <c r="L371" s="4">
        <v>12</v>
      </c>
      <c r="M371" s="4">
        <v>3</v>
      </c>
      <c r="N371" s="4" t="s">
        <v>3</v>
      </c>
      <c r="O371" s="4">
        <v>2</v>
      </c>
      <c r="P371" s="4"/>
      <c r="Q371" s="4"/>
      <c r="R371" s="4"/>
      <c r="S371" s="4"/>
      <c r="T371" s="4"/>
      <c r="U371" s="4"/>
      <c r="V371" s="4"/>
      <c r="W371" s="4"/>
    </row>
    <row r="372" spans="1:23" x14ac:dyDescent="0.2">
      <c r="A372" s="4">
        <v>50</v>
      </c>
      <c r="B372" s="4">
        <v>0</v>
      </c>
      <c r="C372" s="4">
        <v>0</v>
      </c>
      <c r="D372" s="4">
        <v>1</v>
      </c>
      <c r="E372" s="4">
        <v>204</v>
      </c>
      <c r="F372" s="4">
        <f>ROUND(Source!R358,O372)</f>
        <v>80.95</v>
      </c>
      <c r="G372" s="4" t="s">
        <v>337</v>
      </c>
      <c r="H372" s="4" t="s">
        <v>338</v>
      </c>
      <c r="I372" s="4"/>
      <c r="J372" s="4"/>
      <c r="K372" s="4">
        <v>204</v>
      </c>
      <c r="L372" s="4">
        <v>13</v>
      </c>
      <c r="M372" s="4">
        <v>3</v>
      </c>
      <c r="N372" s="4" t="s">
        <v>3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3" x14ac:dyDescent="0.2">
      <c r="A373" s="4">
        <v>50</v>
      </c>
      <c r="B373" s="4">
        <v>0</v>
      </c>
      <c r="C373" s="4">
        <v>0</v>
      </c>
      <c r="D373" s="4">
        <v>1</v>
      </c>
      <c r="E373" s="4">
        <v>205</v>
      </c>
      <c r="F373" s="4">
        <f>ROUND(Source!S358,O373)</f>
        <v>6321.55</v>
      </c>
      <c r="G373" s="4" t="s">
        <v>339</v>
      </c>
      <c r="H373" s="4" t="s">
        <v>340</v>
      </c>
      <c r="I373" s="4"/>
      <c r="J373" s="4"/>
      <c r="K373" s="4">
        <v>205</v>
      </c>
      <c r="L373" s="4">
        <v>14</v>
      </c>
      <c r="M373" s="4">
        <v>3</v>
      </c>
      <c r="N373" s="4" t="s">
        <v>3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3" x14ac:dyDescent="0.2">
      <c r="A374" s="4">
        <v>50</v>
      </c>
      <c r="B374" s="4">
        <v>0</v>
      </c>
      <c r="C374" s="4">
        <v>0</v>
      </c>
      <c r="D374" s="4">
        <v>1</v>
      </c>
      <c r="E374" s="4">
        <v>232</v>
      </c>
      <c r="F374" s="4">
        <f>ROUND(Source!BC358,O374)</f>
        <v>0</v>
      </c>
      <c r="G374" s="4" t="s">
        <v>341</v>
      </c>
      <c r="H374" s="4" t="s">
        <v>342</v>
      </c>
      <c r="I374" s="4"/>
      <c r="J374" s="4"/>
      <c r="K374" s="4">
        <v>232</v>
      </c>
      <c r="L374" s="4">
        <v>15</v>
      </c>
      <c r="M374" s="4">
        <v>3</v>
      </c>
      <c r="N374" s="4" t="s">
        <v>3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3" x14ac:dyDescent="0.2">
      <c r="A375" s="4">
        <v>50</v>
      </c>
      <c r="B375" s="4">
        <v>0</v>
      </c>
      <c r="C375" s="4">
        <v>0</v>
      </c>
      <c r="D375" s="4">
        <v>1</v>
      </c>
      <c r="E375" s="4">
        <v>214</v>
      </c>
      <c r="F375" s="4">
        <f>ROUND(Source!AS358,O375)</f>
        <v>34681.129999999997</v>
      </c>
      <c r="G375" s="4" t="s">
        <v>343</v>
      </c>
      <c r="H375" s="4" t="s">
        <v>344</v>
      </c>
      <c r="I375" s="4"/>
      <c r="J375" s="4"/>
      <c r="K375" s="4">
        <v>214</v>
      </c>
      <c r="L375" s="4">
        <v>16</v>
      </c>
      <c r="M375" s="4">
        <v>3</v>
      </c>
      <c r="N375" s="4" t="s">
        <v>3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6" spans="1:23" x14ac:dyDescent="0.2">
      <c r="A376" s="4">
        <v>50</v>
      </c>
      <c r="B376" s="4">
        <v>0</v>
      </c>
      <c r="C376" s="4">
        <v>0</v>
      </c>
      <c r="D376" s="4">
        <v>1</v>
      </c>
      <c r="E376" s="4">
        <v>215</v>
      </c>
      <c r="F376" s="4">
        <f>ROUND(Source!AT358,O376)</f>
        <v>0</v>
      </c>
      <c r="G376" s="4" t="s">
        <v>345</v>
      </c>
      <c r="H376" s="4" t="s">
        <v>346</v>
      </c>
      <c r="I376" s="4"/>
      <c r="J376" s="4"/>
      <c r="K376" s="4">
        <v>215</v>
      </c>
      <c r="L376" s="4">
        <v>17</v>
      </c>
      <c r="M376" s="4">
        <v>3</v>
      </c>
      <c r="N376" s="4" t="s">
        <v>3</v>
      </c>
      <c r="O376" s="4">
        <v>2</v>
      </c>
      <c r="P376" s="4"/>
      <c r="Q376" s="4"/>
      <c r="R376" s="4"/>
      <c r="S376" s="4"/>
      <c r="T376" s="4"/>
      <c r="U376" s="4"/>
      <c r="V376" s="4"/>
      <c r="W376" s="4"/>
    </row>
    <row r="377" spans="1:23" x14ac:dyDescent="0.2">
      <c r="A377" s="4">
        <v>50</v>
      </c>
      <c r="B377" s="4">
        <v>0</v>
      </c>
      <c r="C377" s="4">
        <v>0</v>
      </c>
      <c r="D377" s="4">
        <v>1</v>
      </c>
      <c r="E377" s="4">
        <v>217</v>
      </c>
      <c r="F377" s="4">
        <f>ROUND(Source!AU358,O377)</f>
        <v>0</v>
      </c>
      <c r="G377" s="4" t="s">
        <v>347</v>
      </c>
      <c r="H377" s="4" t="s">
        <v>348</v>
      </c>
      <c r="I377" s="4"/>
      <c r="J377" s="4"/>
      <c r="K377" s="4">
        <v>217</v>
      </c>
      <c r="L377" s="4">
        <v>18</v>
      </c>
      <c r="M377" s="4">
        <v>3</v>
      </c>
      <c r="N377" s="4" t="s">
        <v>3</v>
      </c>
      <c r="O377" s="4">
        <v>2</v>
      </c>
      <c r="P377" s="4"/>
      <c r="Q377" s="4"/>
      <c r="R377" s="4"/>
      <c r="S377" s="4"/>
      <c r="T377" s="4"/>
      <c r="U377" s="4"/>
      <c r="V377" s="4"/>
      <c r="W377" s="4"/>
    </row>
    <row r="378" spans="1:23" x14ac:dyDescent="0.2">
      <c r="A378" s="4">
        <v>50</v>
      </c>
      <c r="B378" s="4">
        <v>0</v>
      </c>
      <c r="C378" s="4">
        <v>0</v>
      </c>
      <c r="D378" s="4">
        <v>1</v>
      </c>
      <c r="E378" s="4">
        <v>230</v>
      </c>
      <c r="F378" s="4">
        <f>ROUND(Source!BA358,O378)</f>
        <v>0</v>
      </c>
      <c r="G378" s="4" t="s">
        <v>349</v>
      </c>
      <c r="H378" s="4" t="s">
        <v>350</v>
      </c>
      <c r="I378" s="4"/>
      <c r="J378" s="4"/>
      <c r="K378" s="4">
        <v>230</v>
      </c>
      <c r="L378" s="4">
        <v>19</v>
      </c>
      <c r="M378" s="4">
        <v>3</v>
      </c>
      <c r="N378" s="4" t="s">
        <v>3</v>
      </c>
      <c r="O378" s="4">
        <v>2</v>
      </c>
      <c r="P378" s="4"/>
      <c r="Q378" s="4"/>
      <c r="R378" s="4"/>
      <c r="S378" s="4"/>
      <c r="T378" s="4"/>
      <c r="U378" s="4"/>
      <c r="V378" s="4"/>
      <c r="W378" s="4"/>
    </row>
    <row r="379" spans="1:23" x14ac:dyDescent="0.2">
      <c r="A379" s="4">
        <v>50</v>
      </c>
      <c r="B379" s="4">
        <v>0</v>
      </c>
      <c r="C379" s="4">
        <v>0</v>
      </c>
      <c r="D379" s="4">
        <v>1</v>
      </c>
      <c r="E379" s="4">
        <v>206</v>
      </c>
      <c r="F379" s="4">
        <f>ROUND(Source!T358,O379)</f>
        <v>0</v>
      </c>
      <c r="G379" s="4" t="s">
        <v>351</v>
      </c>
      <c r="H379" s="4" t="s">
        <v>352</v>
      </c>
      <c r="I379" s="4"/>
      <c r="J379" s="4"/>
      <c r="K379" s="4">
        <v>206</v>
      </c>
      <c r="L379" s="4">
        <v>20</v>
      </c>
      <c r="M379" s="4">
        <v>3</v>
      </c>
      <c r="N379" s="4" t="s">
        <v>3</v>
      </c>
      <c r="O379" s="4">
        <v>2</v>
      </c>
      <c r="P379" s="4"/>
      <c r="Q379" s="4"/>
      <c r="R379" s="4"/>
      <c r="S379" s="4"/>
      <c r="T379" s="4"/>
      <c r="U379" s="4"/>
      <c r="V379" s="4"/>
      <c r="W379" s="4"/>
    </row>
    <row r="380" spans="1:23" x14ac:dyDescent="0.2">
      <c r="A380" s="4">
        <v>50</v>
      </c>
      <c r="B380" s="4">
        <v>0</v>
      </c>
      <c r="C380" s="4">
        <v>0</v>
      </c>
      <c r="D380" s="4">
        <v>1</v>
      </c>
      <c r="E380" s="4">
        <v>207</v>
      </c>
      <c r="F380" s="4">
        <f>Source!U358</f>
        <v>108.38293279999999</v>
      </c>
      <c r="G380" s="4" t="s">
        <v>353</v>
      </c>
      <c r="H380" s="4" t="s">
        <v>354</v>
      </c>
      <c r="I380" s="4"/>
      <c r="J380" s="4"/>
      <c r="K380" s="4">
        <v>207</v>
      </c>
      <c r="L380" s="4">
        <v>21</v>
      </c>
      <c r="M380" s="4">
        <v>3</v>
      </c>
      <c r="N380" s="4" t="s">
        <v>3</v>
      </c>
      <c r="O380" s="4">
        <v>-1</v>
      </c>
      <c r="P380" s="4"/>
      <c r="Q380" s="4"/>
      <c r="R380" s="4"/>
      <c r="S380" s="4"/>
      <c r="T380" s="4"/>
      <c r="U380" s="4"/>
      <c r="V380" s="4"/>
      <c r="W380" s="4"/>
    </row>
    <row r="381" spans="1:23" x14ac:dyDescent="0.2">
      <c r="A381" s="4">
        <v>50</v>
      </c>
      <c r="B381" s="4">
        <v>0</v>
      </c>
      <c r="C381" s="4">
        <v>0</v>
      </c>
      <c r="D381" s="4">
        <v>1</v>
      </c>
      <c r="E381" s="4">
        <v>208</v>
      </c>
      <c r="F381" s="4">
        <f>Source!V358</f>
        <v>1.0692719999999998</v>
      </c>
      <c r="G381" s="4" t="s">
        <v>355</v>
      </c>
      <c r="H381" s="4" t="s">
        <v>356</v>
      </c>
      <c r="I381" s="4"/>
      <c r="J381" s="4"/>
      <c r="K381" s="4">
        <v>208</v>
      </c>
      <c r="L381" s="4">
        <v>22</v>
      </c>
      <c r="M381" s="4">
        <v>3</v>
      </c>
      <c r="N381" s="4" t="s">
        <v>3</v>
      </c>
      <c r="O381" s="4">
        <v>-1</v>
      </c>
      <c r="P381" s="4"/>
      <c r="Q381" s="4"/>
      <c r="R381" s="4"/>
      <c r="S381" s="4"/>
      <c r="T381" s="4"/>
      <c r="U381" s="4"/>
      <c r="V381" s="4"/>
      <c r="W381" s="4"/>
    </row>
    <row r="382" spans="1:23" x14ac:dyDescent="0.2">
      <c r="A382" s="4">
        <v>50</v>
      </c>
      <c r="B382" s="4">
        <v>0</v>
      </c>
      <c r="C382" s="4">
        <v>0</v>
      </c>
      <c r="D382" s="4">
        <v>1</v>
      </c>
      <c r="E382" s="4">
        <v>209</v>
      </c>
      <c r="F382" s="4">
        <f>ROUND(Source!W358,O382)</f>
        <v>0</v>
      </c>
      <c r="G382" s="4" t="s">
        <v>357</v>
      </c>
      <c r="H382" s="4" t="s">
        <v>358</v>
      </c>
      <c r="I382" s="4"/>
      <c r="J382" s="4"/>
      <c r="K382" s="4">
        <v>209</v>
      </c>
      <c r="L382" s="4">
        <v>23</v>
      </c>
      <c r="M382" s="4">
        <v>3</v>
      </c>
      <c r="N382" s="4" t="s">
        <v>3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3" x14ac:dyDescent="0.2">
      <c r="A383" s="4">
        <v>50</v>
      </c>
      <c r="B383" s="4">
        <v>0</v>
      </c>
      <c r="C383" s="4">
        <v>0</v>
      </c>
      <c r="D383" s="4">
        <v>1</v>
      </c>
      <c r="E383" s="4">
        <v>210</v>
      </c>
      <c r="F383" s="4">
        <f>ROUND(Source!X358,O383)</f>
        <v>7072.33</v>
      </c>
      <c r="G383" s="4" t="s">
        <v>359</v>
      </c>
      <c r="H383" s="4" t="s">
        <v>360</v>
      </c>
      <c r="I383" s="4"/>
      <c r="J383" s="4"/>
      <c r="K383" s="4">
        <v>210</v>
      </c>
      <c r="L383" s="4">
        <v>24</v>
      </c>
      <c r="M383" s="4">
        <v>3</v>
      </c>
      <c r="N383" s="4" t="s">
        <v>3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4" spans="1:23" x14ac:dyDescent="0.2">
      <c r="A384" s="4">
        <v>50</v>
      </c>
      <c r="B384" s="4">
        <v>0</v>
      </c>
      <c r="C384" s="4">
        <v>0</v>
      </c>
      <c r="D384" s="4">
        <v>1</v>
      </c>
      <c r="E384" s="4">
        <v>211</v>
      </c>
      <c r="F384" s="4">
        <f>ROUND(Source!Y358,O384)</f>
        <v>4396.96</v>
      </c>
      <c r="G384" s="4" t="s">
        <v>361</v>
      </c>
      <c r="H384" s="4" t="s">
        <v>362</v>
      </c>
      <c r="I384" s="4"/>
      <c r="J384" s="4"/>
      <c r="K384" s="4">
        <v>211</v>
      </c>
      <c r="L384" s="4">
        <v>25</v>
      </c>
      <c r="M384" s="4">
        <v>3</v>
      </c>
      <c r="N384" s="4" t="s">
        <v>3</v>
      </c>
      <c r="O384" s="4">
        <v>2</v>
      </c>
      <c r="P384" s="4"/>
      <c r="Q384" s="4"/>
      <c r="R384" s="4"/>
      <c r="S384" s="4"/>
      <c r="T384" s="4"/>
      <c r="U384" s="4"/>
      <c r="V384" s="4"/>
      <c r="W384" s="4"/>
    </row>
    <row r="385" spans="1:206" x14ac:dyDescent="0.2">
      <c r="A385" s="4">
        <v>50</v>
      </c>
      <c r="B385" s="4">
        <v>0</v>
      </c>
      <c r="C385" s="4">
        <v>0</v>
      </c>
      <c r="D385" s="4">
        <v>1</v>
      </c>
      <c r="E385" s="4">
        <v>224</v>
      </c>
      <c r="F385" s="4">
        <f>ROUND(Source!AR358,O385)</f>
        <v>34681.129999999997</v>
      </c>
      <c r="G385" s="4" t="s">
        <v>363</v>
      </c>
      <c r="H385" s="4" t="s">
        <v>364</v>
      </c>
      <c r="I385" s="4"/>
      <c r="J385" s="4"/>
      <c r="K385" s="4">
        <v>224</v>
      </c>
      <c r="L385" s="4">
        <v>26</v>
      </c>
      <c r="M385" s="4">
        <v>3</v>
      </c>
      <c r="N385" s="4" t="s">
        <v>3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7" spans="1:206" x14ac:dyDescent="0.2">
      <c r="A387" s="2">
        <v>51</v>
      </c>
      <c r="B387" s="2">
        <f>B20</f>
        <v>1</v>
      </c>
      <c r="C387" s="2">
        <f>A20</f>
        <v>3</v>
      </c>
      <c r="D387" s="2">
        <f>ROW(A20)</f>
        <v>20</v>
      </c>
      <c r="E387" s="2"/>
      <c r="F387" s="2" t="str">
        <f>IF(F20&lt;&gt;"",F20,"")</f>
        <v>Новая локальная смета</v>
      </c>
      <c r="G387" s="2" t="str">
        <f>IF(G20&lt;&gt;"",G20,"")</f>
        <v>Новая локальная смета</v>
      </c>
      <c r="H387" s="2">
        <v>0</v>
      </c>
      <c r="I387" s="2"/>
      <c r="J387" s="2"/>
      <c r="K387" s="2"/>
      <c r="L387" s="2"/>
      <c r="M387" s="2"/>
      <c r="N387" s="2"/>
      <c r="O387" s="2">
        <f t="shared" ref="O387:T387" si="334">ROUND(O100+O162+O199+O272+O313+O358+AB387,2)</f>
        <v>1073241.75</v>
      </c>
      <c r="P387" s="2">
        <f t="shared" si="334"/>
        <v>937287.13</v>
      </c>
      <c r="Q387" s="2">
        <f t="shared" si="334"/>
        <v>31401.43</v>
      </c>
      <c r="R387" s="2">
        <f t="shared" si="334"/>
        <v>3956.79</v>
      </c>
      <c r="S387" s="2">
        <f t="shared" si="334"/>
        <v>104553.19</v>
      </c>
      <c r="T387" s="2">
        <f t="shared" si="334"/>
        <v>0</v>
      </c>
      <c r="U387" s="2">
        <f>U100+U162+U199+U272+U313+U358+AH387</f>
        <v>1812.5792505999996</v>
      </c>
      <c r="V387" s="2">
        <f>V100+V162+V199+V272+V313+V358+AI387</f>
        <v>49.417139999999996</v>
      </c>
      <c r="W387" s="2">
        <f>ROUND(W100+W162+W199+W272+W313+W358+AJ387,2)</f>
        <v>0</v>
      </c>
      <c r="X387" s="2">
        <f>ROUND(X100+X162+X199+X272+X313+X358+AK387,2)</f>
        <v>111874.25</v>
      </c>
      <c r="Y387" s="2">
        <f>ROUND(Y100+Y162+Y199+Y272+Y313+Y358+AL387,2)</f>
        <v>65116.22</v>
      </c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>
        <f t="shared" ref="AO387:BC387" si="335">ROUND(AO100+AO162+AO199+AO272+AO313+AO358+BX387,2)</f>
        <v>0</v>
      </c>
      <c r="AP387" s="2">
        <f t="shared" si="335"/>
        <v>0</v>
      </c>
      <c r="AQ387" s="2">
        <f t="shared" si="335"/>
        <v>0</v>
      </c>
      <c r="AR387" s="2">
        <f t="shared" si="335"/>
        <v>1250232.22</v>
      </c>
      <c r="AS387" s="2">
        <f t="shared" si="335"/>
        <v>959080.83</v>
      </c>
      <c r="AT387" s="2">
        <f t="shared" si="335"/>
        <v>287290.18</v>
      </c>
      <c r="AU387" s="2">
        <f t="shared" si="335"/>
        <v>3861.21</v>
      </c>
      <c r="AV387" s="2">
        <f t="shared" si="335"/>
        <v>937287.13</v>
      </c>
      <c r="AW387" s="2">
        <f t="shared" si="335"/>
        <v>937287.13</v>
      </c>
      <c r="AX387" s="2">
        <f t="shared" si="335"/>
        <v>0</v>
      </c>
      <c r="AY387" s="2">
        <f t="shared" si="335"/>
        <v>937287.13</v>
      </c>
      <c r="AZ387" s="2">
        <f t="shared" si="335"/>
        <v>0</v>
      </c>
      <c r="BA387" s="2">
        <f t="shared" si="335"/>
        <v>0</v>
      </c>
      <c r="BB387" s="2">
        <f t="shared" si="335"/>
        <v>0</v>
      </c>
      <c r="BC387" s="2">
        <f t="shared" si="335"/>
        <v>0</v>
      </c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>
        <v>0</v>
      </c>
    </row>
    <row r="389" spans="1:206" x14ac:dyDescent="0.2">
      <c r="A389" s="4">
        <v>50</v>
      </c>
      <c r="B389" s="4">
        <v>0</v>
      </c>
      <c r="C389" s="4">
        <v>0</v>
      </c>
      <c r="D389" s="4">
        <v>1</v>
      </c>
      <c r="E389" s="4">
        <v>201</v>
      </c>
      <c r="F389" s="4">
        <f>ROUND(Source!O387,O389)</f>
        <v>1073241.75</v>
      </c>
      <c r="G389" s="4" t="s">
        <v>313</v>
      </c>
      <c r="H389" s="4" t="s">
        <v>314</v>
      </c>
      <c r="I389" s="4"/>
      <c r="J389" s="4"/>
      <c r="K389" s="4">
        <v>201</v>
      </c>
      <c r="L389" s="4">
        <v>1</v>
      </c>
      <c r="M389" s="4">
        <v>3</v>
      </c>
      <c r="N389" s="4" t="s">
        <v>3</v>
      </c>
      <c r="O389" s="4">
        <v>2</v>
      </c>
      <c r="P389" s="4"/>
      <c r="Q389" s="4"/>
      <c r="R389" s="4"/>
      <c r="S389" s="4"/>
      <c r="T389" s="4"/>
      <c r="U389" s="4"/>
      <c r="V389" s="4"/>
      <c r="W389" s="4"/>
    </row>
    <row r="390" spans="1:206" x14ac:dyDescent="0.2">
      <c r="A390" s="4">
        <v>50</v>
      </c>
      <c r="B390" s="4">
        <v>0</v>
      </c>
      <c r="C390" s="4">
        <v>0</v>
      </c>
      <c r="D390" s="4">
        <v>1</v>
      </c>
      <c r="E390" s="4">
        <v>202</v>
      </c>
      <c r="F390" s="4">
        <f>ROUND(Source!P387,O390)</f>
        <v>937287.13</v>
      </c>
      <c r="G390" s="4" t="s">
        <v>315</v>
      </c>
      <c r="H390" s="4" t="s">
        <v>316</v>
      </c>
      <c r="I390" s="4"/>
      <c r="J390" s="4"/>
      <c r="K390" s="4">
        <v>202</v>
      </c>
      <c r="L390" s="4">
        <v>2</v>
      </c>
      <c r="M390" s="4">
        <v>3</v>
      </c>
      <c r="N390" s="4" t="s">
        <v>3</v>
      </c>
      <c r="O390" s="4">
        <v>2</v>
      </c>
      <c r="P390" s="4"/>
      <c r="Q390" s="4"/>
      <c r="R390" s="4"/>
      <c r="S390" s="4"/>
      <c r="T390" s="4"/>
      <c r="U390" s="4"/>
      <c r="V390" s="4"/>
      <c r="W390" s="4"/>
    </row>
    <row r="391" spans="1:206" x14ac:dyDescent="0.2">
      <c r="A391" s="4">
        <v>50</v>
      </c>
      <c r="B391" s="4">
        <v>0</v>
      </c>
      <c r="C391" s="4">
        <v>0</v>
      </c>
      <c r="D391" s="4">
        <v>1</v>
      </c>
      <c r="E391" s="4">
        <v>222</v>
      </c>
      <c r="F391" s="4">
        <f>ROUND(Source!AO387,O391)</f>
        <v>0</v>
      </c>
      <c r="G391" s="4" t="s">
        <v>317</v>
      </c>
      <c r="H391" s="4" t="s">
        <v>318</v>
      </c>
      <c r="I391" s="4"/>
      <c r="J391" s="4"/>
      <c r="K391" s="4">
        <v>222</v>
      </c>
      <c r="L391" s="4">
        <v>3</v>
      </c>
      <c r="M391" s="4">
        <v>3</v>
      </c>
      <c r="N391" s="4" t="s">
        <v>3</v>
      </c>
      <c r="O391" s="4">
        <v>2</v>
      </c>
      <c r="P391" s="4"/>
      <c r="Q391" s="4"/>
      <c r="R391" s="4"/>
      <c r="S391" s="4"/>
      <c r="T391" s="4"/>
      <c r="U391" s="4"/>
      <c r="V391" s="4"/>
      <c r="W391" s="4"/>
    </row>
    <row r="392" spans="1:206" x14ac:dyDescent="0.2">
      <c r="A392" s="4">
        <v>50</v>
      </c>
      <c r="B392" s="4">
        <v>0</v>
      </c>
      <c r="C392" s="4">
        <v>0</v>
      </c>
      <c r="D392" s="4">
        <v>1</v>
      </c>
      <c r="E392" s="4">
        <v>225</v>
      </c>
      <c r="F392" s="4">
        <f>ROUND(Source!AV387,O392)</f>
        <v>937287.13</v>
      </c>
      <c r="G392" s="4" t="s">
        <v>319</v>
      </c>
      <c r="H392" s="4" t="s">
        <v>320</v>
      </c>
      <c r="I392" s="4"/>
      <c r="J392" s="4"/>
      <c r="K392" s="4">
        <v>225</v>
      </c>
      <c r="L392" s="4">
        <v>4</v>
      </c>
      <c r="M392" s="4">
        <v>3</v>
      </c>
      <c r="N392" s="4" t="s">
        <v>3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06" x14ac:dyDescent="0.2">
      <c r="A393" s="4">
        <v>50</v>
      </c>
      <c r="B393" s="4">
        <v>0</v>
      </c>
      <c r="C393" s="4">
        <v>0</v>
      </c>
      <c r="D393" s="4">
        <v>1</v>
      </c>
      <c r="E393" s="4">
        <v>226</v>
      </c>
      <c r="F393" s="4">
        <f>ROUND(Source!AW387,O393)</f>
        <v>937287.13</v>
      </c>
      <c r="G393" s="4" t="s">
        <v>321</v>
      </c>
      <c r="H393" s="4" t="s">
        <v>322</v>
      </c>
      <c r="I393" s="4"/>
      <c r="J393" s="4"/>
      <c r="K393" s="4">
        <v>226</v>
      </c>
      <c r="L393" s="4">
        <v>5</v>
      </c>
      <c r="M393" s="4">
        <v>3</v>
      </c>
      <c r="N393" s="4" t="s">
        <v>3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06" x14ac:dyDescent="0.2">
      <c r="A394" s="4">
        <v>50</v>
      </c>
      <c r="B394" s="4">
        <v>0</v>
      </c>
      <c r="C394" s="4">
        <v>0</v>
      </c>
      <c r="D394" s="4">
        <v>1</v>
      </c>
      <c r="E394" s="4">
        <v>227</v>
      </c>
      <c r="F394" s="4">
        <f>ROUND(Source!AX387,O394)</f>
        <v>0</v>
      </c>
      <c r="G394" s="4" t="s">
        <v>323</v>
      </c>
      <c r="H394" s="4" t="s">
        <v>324</v>
      </c>
      <c r="I394" s="4"/>
      <c r="J394" s="4"/>
      <c r="K394" s="4">
        <v>227</v>
      </c>
      <c r="L394" s="4">
        <v>6</v>
      </c>
      <c r="M394" s="4">
        <v>3</v>
      </c>
      <c r="N394" s="4" t="s">
        <v>3</v>
      </c>
      <c r="O394" s="4">
        <v>2</v>
      </c>
      <c r="P394" s="4"/>
      <c r="Q394" s="4"/>
      <c r="R394" s="4"/>
      <c r="S394" s="4"/>
      <c r="T394" s="4"/>
      <c r="U394" s="4"/>
      <c r="V394" s="4"/>
      <c r="W394" s="4"/>
    </row>
    <row r="395" spans="1:206" x14ac:dyDescent="0.2">
      <c r="A395" s="4">
        <v>50</v>
      </c>
      <c r="B395" s="4">
        <v>0</v>
      </c>
      <c r="C395" s="4">
        <v>0</v>
      </c>
      <c r="D395" s="4">
        <v>1</v>
      </c>
      <c r="E395" s="4">
        <v>228</v>
      </c>
      <c r="F395" s="4">
        <f>ROUND(Source!AY387,O395)</f>
        <v>937287.13</v>
      </c>
      <c r="G395" s="4" t="s">
        <v>325</v>
      </c>
      <c r="H395" s="4" t="s">
        <v>326</v>
      </c>
      <c r="I395" s="4"/>
      <c r="J395" s="4"/>
      <c r="K395" s="4">
        <v>228</v>
      </c>
      <c r="L395" s="4">
        <v>7</v>
      </c>
      <c r="M395" s="4">
        <v>3</v>
      </c>
      <c r="N395" s="4" t="s">
        <v>3</v>
      </c>
      <c r="O395" s="4">
        <v>2</v>
      </c>
      <c r="P395" s="4"/>
      <c r="Q395" s="4"/>
      <c r="R395" s="4"/>
      <c r="S395" s="4"/>
      <c r="T395" s="4"/>
      <c r="U395" s="4"/>
      <c r="V395" s="4"/>
      <c r="W395" s="4"/>
    </row>
    <row r="396" spans="1:206" x14ac:dyDescent="0.2">
      <c r="A396" s="4">
        <v>50</v>
      </c>
      <c r="B396" s="4">
        <v>0</v>
      </c>
      <c r="C396" s="4">
        <v>0</v>
      </c>
      <c r="D396" s="4">
        <v>1</v>
      </c>
      <c r="E396" s="4">
        <v>216</v>
      </c>
      <c r="F396" s="4">
        <f>ROUND(Source!AP387,O396)</f>
        <v>0</v>
      </c>
      <c r="G396" s="4" t="s">
        <v>327</v>
      </c>
      <c r="H396" s="4" t="s">
        <v>328</v>
      </c>
      <c r="I396" s="4"/>
      <c r="J396" s="4"/>
      <c r="K396" s="4">
        <v>216</v>
      </c>
      <c r="L396" s="4">
        <v>8</v>
      </c>
      <c r="M396" s="4">
        <v>3</v>
      </c>
      <c r="N396" s="4" t="s">
        <v>3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06" x14ac:dyDescent="0.2">
      <c r="A397" s="4">
        <v>50</v>
      </c>
      <c r="B397" s="4">
        <v>0</v>
      </c>
      <c r="C397" s="4">
        <v>0</v>
      </c>
      <c r="D397" s="4">
        <v>1</v>
      </c>
      <c r="E397" s="4">
        <v>223</v>
      </c>
      <c r="F397" s="4">
        <f>ROUND(Source!AQ387,O397)</f>
        <v>0</v>
      </c>
      <c r="G397" s="4" t="s">
        <v>329</v>
      </c>
      <c r="H397" s="4" t="s">
        <v>330</v>
      </c>
      <c r="I397" s="4"/>
      <c r="J397" s="4"/>
      <c r="K397" s="4">
        <v>223</v>
      </c>
      <c r="L397" s="4">
        <v>9</v>
      </c>
      <c r="M397" s="4">
        <v>3</v>
      </c>
      <c r="N397" s="4" t="s">
        <v>3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06" x14ac:dyDescent="0.2">
      <c r="A398" s="4">
        <v>50</v>
      </c>
      <c r="B398" s="4">
        <v>0</v>
      </c>
      <c r="C398" s="4">
        <v>0</v>
      </c>
      <c r="D398" s="4">
        <v>1</v>
      </c>
      <c r="E398" s="4">
        <v>229</v>
      </c>
      <c r="F398" s="4">
        <f>ROUND(Source!AZ387,O398)</f>
        <v>0</v>
      </c>
      <c r="G398" s="4" t="s">
        <v>331</v>
      </c>
      <c r="H398" s="4" t="s">
        <v>332</v>
      </c>
      <c r="I398" s="4"/>
      <c r="J398" s="4"/>
      <c r="K398" s="4">
        <v>229</v>
      </c>
      <c r="L398" s="4">
        <v>10</v>
      </c>
      <c r="M398" s="4">
        <v>3</v>
      </c>
      <c r="N398" s="4" t="s">
        <v>3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06" x14ac:dyDescent="0.2">
      <c r="A399" s="4">
        <v>50</v>
      </c>
      <c r="B399" s="4">
        <v>0</v>
      </c>
      <c r="C399" s="4">
        <v>0</v>
      </c>
      <c r="D399" s="4">
        <v>1</v>
      </c>
      <c r="E399" s="4">
        <v>203</v>
      </c>
      <c r="F399" s="4">
        <f>ROUND(Source!Q387,O399)</f>
        <v>31401.43</v>
      </c>
      <c r="G399" s="4" t="s">
        <v>333</v>
      </c>
      <c r="H399" s="4" t="s">
        <v>334</v>
      </c>
      <c r="I399" s="4"/>
      <c r="J399" s="4"/>
      <c r="K399" s="4">
        <v>203</v>
      </c>
      <c r="L399" s="4">
        <v>11</v>
      </c>
      <c r="M399" s="4">
        <v>3</v>
      </c>
      <c r="N399" s="4" t="s">
        <v>3</v>
      </c>
      <c r="O399" s="4">
        <v>2</v>
      </c>
      <c r="P399" s="4"/>
      <c r="Q399" s="4"/>
      <c r="R399" s="4"/>
      <c r="S399" s="4"/>
      <c r="T399" s="4"/>
      <c r="U399" s="4"/>
      <c r="V399" s="4"/>
      <c r="W399" s="4"/>
    </row>
    <row r="400" spans="1:206" x14ac:dyDescent="0.2">
      <c r="A400" s="4">
        <v>50</v>
      </c>
      <c r="B400" s="4">
        <v>0</v>
      </c>
      <c r="C400" s="4">
        <v>0</v>
      </c>
      <c r="D400" s="4">
        <v>1</v>
      </c>
      <c r="E400" s="4">
        <v>231</v>
      </c>
      <c r="F400" s="4">
        <f>ROUND(Source!BB387,O400)</f>
        <v>0</v>
      </c>
      <c r="G400" s="4" t="s">
        <v>335</v>
      </c>
      <c r="H400" s="4" t="s">
        <v>336</v>
      </c>
      <c r="I400" s="4"/>
      <c r="J400" s="4"/>
      <c r="K400" s="4">
        <v>231</v>
      </c>
      <c r="L400" s="4">
        <v>12</v>
      </c>
      <c r="M400" s="4">
        <v>3</v>
      </c>
      <c r="N400" s="4" t="s">
        <v>3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1" spans="1:23" x14ac:dyDescent="0.2">
      <c r="A401" s="4">
        <v>50</v>
      </c>
      <c r="B401" s="4">
        <v>0</v>
      </c>
      <c r="C401" s="4">
        <v>0</v>
      </c>
      <c r="D401" s="4">
        <v>1</v>
      </c>
      <c r="E401" s="4">
        <v>204</v>
      </c>
      <c r="F401" s="4">
        <f>ROUND(Source!R387,O401)</f>
        <v>3956.79</v>
      </c>
      <c r="G401" s="4" t="s">
        <v>337</v>
      </c>
      <c r="H401" s="4" t="s">
        <v>338</v>
      </c>
      <c r="I401" s="4"/>
      <c r="J401" s="4"/>
      <c r="K401" s="4">
        <v>204</v>
      </c>
      <c r="L401" s="4">
        <v>13</v>
      </c>
      <c r="M401" s="4">
        <v>3</v>
      </c>
      <c r="N401" s="4" t="s">
        <v>3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3" x14ac:dyDescent="0.2">
      <c r="A402" s="4">
        <v>50</v>
      </c>
      <c r="B402" s="4">
        <v>0</v>
      </c>
      <c r="C402" s="4">
        <v>0</v>
      </c>
      <c r="D402" s="4">
        <v>1</v>
      </c>
      <c r="E402" s="4">
        <v>205</v>
      </c>
      <c r="F402" s="4">
        <f>ROUND(Source!S387,O402)</f>
        <v>104553.19</v>
      </c>
      <c r="G402" s="4" t="s">
        <v>339</v>
      </c>
      <c r="H402" s="4" t="s">
        <v>340</v>
      </c>
      <c r="I402" s="4"/>
      <c r="J402" s="4"/>
      <c r="K402" s="4">
        <v>205</v>
      </c>
      <c r="L402" s="4">
        <v>14</v>
      </c>
      <c r="M402" s="4">
        <v>3</v>
      </c>
      <c r="N402" s="4" t="s">
        <v>3</v>
      </c>
      <c r="O402" s="4">
        <v>2</v>
      </c>
      <c r="P402" s="4"/>
      <c r="Q402" s="4"/>
      <c r="R402" s="4"/>
      <c r="S402" s="4"/>
      <c r="T402" s="4"/>
      <c r="U402" s="4"/>
      <c r="V402" s="4"/>
      <c r="W402" s="4"/>
    </row>
    <row r="403" spans="1:23" x14ac:dyDescent="0.2">
      <c r="A403" s="4">
        <v>50</v>
      </c>
      <c r="B403" s="4">
        <v>0</v>
      </c>
      <c r="C403" s="4">
        <v>0</v>
      </c>
      <c r="D403" s="4">
        <v>1</v>
      </c>
      <c r="E403" s="4">
        <v>232</v>
      </c>
      <c r="F403" s="4">
        <f>ROUND(Source!BC387,O403)</f>
        <v>0</v>
      </c>
      <c r="G403" s="4" t="s">
        <v>341</v>
      </c>
      <c r="H403" s="4" t="s">
        <v>342</v>
      </c>
      <c r="I403" s="4"/>
      <c r="J403" s="4"/>
      <c r="K403" s="4">
        <v>232</v>
      </c>
      <c r="L403" s="4">
        <v>15</v>
      </c>
      <c r="M403" s="4">
        <v>3</v>
      </c>
      <c r="N403" s="4" t="s">
        <v>3</v>
      </c>
      <c r="O403" s="4">
        <v>2</v>
      </c>
      <c r="P403" s="4"/>
      <c r="Q403" s="4"/>
      <c r="R403" s="4"/>
      <c r="S403" s="4"/>
      <c r="T403" s="4"/>
      <c r="U403" s="4"/>
      <c r="V403" s="4"/>
      <c r="W403" s="4"/>
    </row>
    <row r="404" spans="1:23" x14ac:dyDescent="0.2">
      <c r="A404" s="4">
        <v>50</v>
      </c>
      <c r="B404" s="4">
        <v>0</v>
      </c>
      <c r="C404" s="4">
        <v>0</v>
      </c>
      <c r="D404" s="4">
        <v>1</v>
      </c>
      <c r="E404" s="4">
        <v>214</v>
      </c>
      <c r="F404" s="4">
        <f>ROUND(Source!AS387,O404)</f>
        <v>959080.83</v>
      </c>
      <c r="G404" s="4" t="s">
        <v>343</v>
      </c>
      <c r="H404" s="4" t="s">
        <v>344</v>
      </c>
      <c r="I404" s="4"/>
      <c r="J404" s="4"/>
      <c r="K404" s="4">
        <v>214</v>
      </c>
      <c r="L404" s="4">
        <v>16</v>
      </c>
      <c r="M404" s="4">
        <v>3</v>
      </c>
      <c r="N404" s="4" t="s">
        <v>3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3" x14ac:dyDescent="0.2">
      <c r="A405" s="4">
        <v>50</v>
      </c>
      <c r="B405" s="4">
        <v>0</v>
      </c>
      <c r="C405" s="4">
        <v>0</v>
      </c>
      <c r="D405" s="4">
        <v>1</v>
      </c>
      <c r="E405" s="4">
        <v>215</v>
      </c>
      <c r="F405" s="4">
        <f>ROUND(Source!AT387,O405)</f>
        <v>287290.18</v>
      </c>
      <c r="G405" s="4" t="s">
        <v>345</v>
      </c>
      <c r="H405" s="4" t="s">
        <v>346</v>
      </c>
      <c r="I405" s="4"/>
      <c r="J405" s="4"/>
      <c r="K405" s="4">
        <v>215</v>
      </c>
      <c r="L405" s="4">
        <v>17</v>
      </c>
      <c r="M405" s="4">
        <v>3</v>
      </c>
      <c r="N405" s="4" t="s">
        <v>3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3" x14ac:dyDescent="0.2">
      <c r="A406" s="4">
        <v>50</v>
      </c>
      <c r="B406" s="4">
        <v>0</v>
      </c>
      <c r="C406" s="4">
        <v>0</v>
      </c>
      <c r="D406" s="4">
        <v>1</v>
      </c>
      <c r="E406" s="4">
        <v>217</v>
      </c>
      <c r="F406" s="4">
        <f>ROUND(Source!AU387,O406)</f>
        <v>3861.21</v>
      </c>
      <c r="G406" s="4" t="s">
        <v>347</v>
      </c>
      <c r="H406" s="4" t="s">
        <v>348</v>
      </c>
      <c r="I406" s="4"/>
      <c r="J406" s="4"/>
      <c r="K406" s="4">
        <v>217</v>
      </c>
      <c r="L406" s="4">
        <v>18</v>
      </c>
      <c r="M406" s="4">
        <v>3</v>
      </c>
      <c r="N406" s="4" t="s">
        <v>3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3" x14ac:dyDescent="0.2">
      <c r="A407" s="4">
        <v>50</v>
      </c>
      <c r="B407" s="4">
        <v>0</v>
      </c>
      <c r="C407" s="4">
        <v>0</v>
      </c>
      <c r="D407" s="4">
        <v>1</v>
      </c>
      <c r="E407" s="4">
        <v>230</v>
      </c>
      <c r="F407" s="4">
        <f>ROUND(Source!BA387,O407)</f>
        <v>0</v>
      </c>
      <c r="G407" s="4" t="s">
        <v>349</v>
      </c>
      <c r="H407" s="4" t="s">
        <v>350</v>
      </c>
      <c r="I407" s="4"/>
      <c r="J407" s="4"/>
      <c r="K407" s="4">
        <v>230</v>
      </c>
      <c r="L407" s="4">
        <v>19</v>
      </c>
      <c r="M407" s="4">
        <v>3</v>
      </c>
      <c r="N407" s="4" t="s">
        <v>3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08" spans="1:23" x14ac:dyDescent="0.2">
      <c r="A408" s="4">
        <v>50</v>
      </c>
      <c r="B408" s="4">
        <v>0</v>
      </c>
      <c r="C408" s="4">
        <v>0</v>
      </c>
      <c r="D408" s="4">
        <v>1</v>
      </c>
      <c r="E408" s="4">
        <v>206</v>
      </c>
      <c r="F408" s="4">
        <f>ROUND(Source!T387,O408)</f>
        <v>0</v>
      </c>
      <c r="G408" s="4" t="s">
        <v>351</v>
      </c>
      <c r="H408" s="4" t="s">
        <v>352</v>
      </c>
      <c r="I408" s="4"/>
      <c r="J408" s="4"/>
      <c r="K408" s="4">
        <v>206</v>
      </c>
      <c r="L408" s="4">
        <v>20</v>
      </c>
      <c r="M408" s="4">
        <v>3</v>
      </c>
      <c r="N408" s="4" t="s">
        <v>3</v>
      </c>
      <c r="O408" s="4">
        <v>2</v>
      </c>
      <c r="P408" s="4"/>
      <c r="Q408" s="4"/>
      <c r="R408" s="4"/>
      <c r="S408" s="4"/>
      <c r="T408" s="4"/>
      <c r="U408" s="4"/>
      <c r="V408" s="4"/>
      <c r="W408" s="4"/>
    </row>
    <row r="409" spans="1:23" x14ac:dyDescent="0.2">
      <c r="A409" s="4">
        <v>50</v>
      </c>
      <c r="B409" s="4">
        <v>0</v>
      </c>
      <c r="C409" s="4">
        <v>0</v>
      </c>
      <c r="D409" s="4">
        <v>1</v>
      </c>
      <c r="E409" s="4">
        <v>207</v>
      </c>
      <c r="F409" s="4">
        <f>Source!U387</f>
        <v>1812.5792505999996</v>
      </c>
      <c r="G409" s="4" t="s">
        <v>353</v>
      </c>
      <c r="H409" s="4" t="s">
        <v>354</v>
      </c>
      <c r="I409" s="4"/>
      <c r="J409" s="4"/>
      <c r="K409" s="4">
        <v>207</v>
      </c>
      <c r="L409" s="4">
        <v>21</v>
      </c>
      <c r="M409" s="4">
        <v>3</v>
      </c>
      <c r="N409" s="4" t="s">
        <v>3</v>
      </c>
      <c r="O409" s="4">
        <v>-1</v>
      </c>
      <c r="P409" s="4"/>
      <c r="Q409" s="4"/>
      <c r="R409" s="4"/>
      <c r="S409" s="4"/>
      <c r="T409" s="4"/>
      <c r="U409" s="4"/>
      <c r="V409" s="4"/>
      <c r="W409" s="4"/>
    </row>
    <row r="410" spans="1:23" x14ac:dyDescent="0.2">
      <c r="A410" s="4">
        <v>50</v>
      </c>
      <c r="B410" s="4">
        <v>0</v>
      </c>
      <c r="C410" s="4">
        <v>0</v>
      </c>
      <c r="D410" s="4">
        <v>1</v>
      </c>
      <c r="E410" s="4">
        <v>208</v>
      </c>
      <c r="F410" s="4">
        <f>Source!V387</f>
        <v>49.417139999999996</v>
      </c>
      <c r="G410" s="4" t="s">
        <v>355</v>
      </c>
      <c r="H410" s="4" t="s">
        <v>356</v>
      </c>
      <c r="I410" s="4"/>
      <c r="J410" s="4"/>
      <c r="K410" s="4">
        <v>208</v>
      </c>
      <c r="L410" s="4">
        <v>22</v>
      </c>
      <c r="M410" s="4">
        <v>3</v>
      </c>
      <c r="N410" s="4" t="s">
        <v>3</v>
      </c>
      <c r="O410" s="4">
        <v>-1</v>
      </c>
      <c r="P410" s="4"/>
      <c r="Q410" s="4"/>
      <c r="R410" s="4"/>
      <c r="S410" s="4"/>
      <c r="T410" s="4"/>
      <c r="U410" s="4"/>
      <c r="V410" s="4"/>
      <c r="W410" s="4"/>
    </row>
    <row r="411" spans="1:23" x14ac:dyDescent="0.2">
      <c r="A411" s="4">
        <v>50</v>
      </c>
      <c r="B411" s="4">
        <v>0</v>
      </c>
      <c r="C411" s="4">
        <v>0</v>
      </c>
      <c r="D411" s="4">
        <v>1</v>
      </c>
      <c r="E411" s="4">
        <v>209</v>
      </c>
      <c r="F411" s="4">
        <f>ROUND(Source!W387,O411)</f>
        <v>0</v>
      </c>
      <c r="G411" s="4" t="s">
        <v>357</v>
      </c>
      <c r="H411" s="4" t="s">
        <v>358</v>
      </c>
      <c r="I411" s="4"/>
      <c r="J411" s="4"/>
      <c r="K411" s="4">
        <v>209</v>
      </c>
      <c r="L411" s="4">
        <v>23</v>
      </c>
      <c r="M411" s="4">
        <v>3</v>
      </c>
      <c r="N411" s="4" t="s">
        <v>3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3" x14ac:dyDescent="0.2">
      <c r="A412" s="4">
        <v>50</v>
      </c>
      <c r="B412" s="4">
        <v>0</v>
      </c>
      <c r="C412" s="4">
        <v>0</v>
      </c>
      <c r="D412" s="4">
        <v>1</v>
      </c>
      <c r="E412" s="4">
        <v>210</v>
      </c>
      <c r="F412" s="4">
        <f>ROUND(Source!X387,O412)</f>
        <v>111874.25</v>
      </c>
      <c r="G412" s="4" t="s">
        <v>359</v>
      </c>
      <c r="H412" s="4" t="s">
        <v>360</v>
      </c>
      <c r="I412" s="4"/>
      <c r="J412" s="4"/>
      <c r="K412" s="4">
        <v>210</v>
      </c>
      <c r="L412" s="4">
        <v>24</v>
      </c>
      <c r="M412" s="4">
        <v>3</v>
      </c>
      <c r="N412" s="4" t="s">
        <v>3</v>
      </c>
      <c r="O412" s="4">
        <v>2</v>
      </c>
      <c r="P412" s="4"/>
      <c r="Q412" s="4"/>
      <c r="R412" s="4"/>
      <c r="S412" s="4"/>
      <c r="T412" s="4"/>
      <c r="U412" s="4"/>
      <c r="V412" s="4"/>
      <c r="W412" s="4"/>
    </row>
    <row r="413" spans="1:23" x14ac:dyDescent="0.2">
      <c r="A413" s="4">
        <v>50</v>
      </c>
      <c r="B413" s="4">
        <v>0</v>
      </c>
      <c r="C413" s="4">
        <v>0</v>
      </c>
      <c r="D413" s="4">
        <v>1</v>
      </c>
      <c r="E413" s="4">
        <v>211</v>
      </c>
      <c r="F413" s="4">
        <f>ROUND(Source!Y387,O413)</f>
        <v>65116.22</v>
      </c>
      <c r="G413" s="4" t="s">
        <v>361</v>
      </c>
      <c r="H413" s="4" t="s">
        <v>362</v>
      </c>
      <c r="I413" s="4"/>
      <c r="J413" s="4"/>
      <c r="K413" s="4">
        <v>211</v>
      </c>
      <c r="L413" s="4">
        <v>25</v>
      </c>
      <c r="M413" s="4">
        <v>3</v>
      </c>
      <c r="N413" s="4" t="s">
        <v>3</v>
      </c>
      <c r="O413" s="4">
        <v>2</v>
      </c>
      <c r="P413" s="4"/>
      <c r="Q413" s="4"/>
      <c r="R413" s="4"/>
      <c r="S413" s="4"/>
      <c r="T413" s="4"/>
      <c r="U413" s="4"/>
      <c r="V413" s="4"/>
      <c r="W413" s="4"/>
    </row>
    <row r="414" spans="1:23" x14ac:dyDescent="0.2">
      <c r="A414" s="4">
        <v>50</v>
      </c>
      <c r="B414" s="4">
        <v>0</v>
      </c>
      <c r="C414" s="4">
        <v>0</v>
      </c>
      <c r="D414" s="4">
        <v>1</v>
      </c>
      <c r="E414" s="4">
        <v>224</v>
      </c>
      <c r="F414" s="4">
        <f>ROUND(Source!AR387,O414)</f>
        <v>1250232.22</v>
      </c>
      <c r="G414" s="4" t="s">
        <v>363</v>
      </c>
      <c r="H414" s="4" t="s">
        <v>364</v>
      </c>
      <c r="I414" s="4"/>
      <c r="J414" s="4"/>
      <c r="K414" s="4">
        <v>224</v>
      </c>
      <c r="L414" s="4">
        <v>26</v>
      </c>
      <c r="M414" s="4">
        <v>3</v>
      </c>
      <c r="N414" s="4" t="s">
        <v>3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3" x14ac:dyDescent="0.2">
      <c r="A415" s="4">
        <v>50</v>
      </c>
      <c r="B415" s="4">
        <v>1</v>
      </c>
      <c r="C415" s="4">
        <v>0</v>
      </c>
      <c r="D415" s="4">
        <v>2</v>
      </c>
      <c r="E415" s="4">
        <v>0</v>
      </c>
      <c r="F415" s="4">
        <f>ROUND(F414,O415)</f>
        <v>1250232.22</v>
      </c>
      <c r="G415" s="4" t="s">
        <v>725</v>
      </c>
      <c r="H415" s="4" t="s">
        <v>726</v>
      </c>
      <c r="I415" s="4"/>
      <c r="J415" s="4"/>
      <c r="K415" s="4">
        <v>212</v>
      </c>
      <c r="L415" s="4">
        <v>27</v>
      </c>
      <c r="M415" s="4">
        <v>0</v>
      </c>
      <c r="N415" s="4" t="s">
        <v>3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3" x14ac:dyDescent="0.2">
      <c r="A416" s="4">
        <v>50</v>
      </c>
      <c r="B416" s="4">
        <v>1</v>
      </c>
      <c r="C416" s="4">
        <v>0</v>
      </c>
      <c r="D416" s="4">
        <v>2</v>
      </c>
      <c r="E416" s="4">
        <v>0</v>
      </c>
      <c r="F416" s="4">
        <f>ROUND(F415*0.18,O416)</f>
        <v>225041.8</v>
      </c>
      <c r="G416" s="4" t="s">
        <v>727</v>
      </c>
      <c r="H416" s="4" t="s">
        <v>728</v>
      </c>
      <c r="I416" s="4"/>
      <c r="J416" s="4"/>
      <c r="K416" s="4">
        <v>212</v>
      </c>
      <c r="L416" s="4">
        <v>28</v>
      </c>
      <c r="M416" s="4">
        <v>0</v>
      </c>
      <c r="N416" s="4" t="s">
        <v>3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7" spans="1:206" x14ac:dyDescent="0.2">
      <c r="A417" s="4">
        <v>50</v>
      </c>
      <c r="B417" s="4">
        <v>1</v>
      </c>
      <c r="C417" s="4">
        <v>0</v>
      </c>
      <c r="D417" s="4">
        <v>2</v>
      </c>
      <c r="E417" s="4">
        <v>213</v>
      </c>
      <c r="F417" s="4">
        <f>ROUND(F415+F416,O417)</f>
        <v>1475274.02</v>
      </c>
      <c r="G417" s="4" t="s">
        <v>729</v>
      </c>
      <c r="H417" s="4" t="s">
        <v>363</v>
      </c>
      <c r="I417" s="4"/>
      <c r="J417" s="4"/>
      <c r="K417" s="4">
        <v>212</v>
      </c>
      <c r="L417" s="4">
        <v>29</v>
      </c>
      <c r="M417" s="4">
        <v>0</v>
      </c>
      <c r="N417" s="4" t="s">
        <v>3</v>
      </c>
      <c r="O417" s="4">
        <v>2</v>
      </c>
      <c r="P417" s="4"/>
      <c r="Q417" s="4"/>
      <c r="R417" s="4"/>
      <c r="S417" s="4"/>
      <c r="T417" s="4"/>
      <c r="U417" s="4"/>
      <c r="V417" s="4"/>
      <c r="W417" s="4"/>
    </row>
    <row r="419" spans="1:206" x14ac:dyDescent="0.2">
      <c r="A419" s="2">
        <v>51</v>
      </c>
      <c r="B419" s="2">
        <f>B12</f>
        <v>477</v>
      </c>
      <c r="C419" s="2">
        <f>A12</f>
        <v>1</v>
      </c>
      <c r="D419" s="2">
        <f>ROW(A12)</f>
        <v>12</v>
      </c>
      <c r="E419" s="2"/>
      <c r="F419" s="2" t="str">
        <f>IF(F12&lt;&gt;"",F12,"")</f>
        <v>Новый объект</v>
      </c>
      <c r="G419" s="2" t="str">
        <f>IF(G12&lt;&gt;"",G12,"")</f>
        <v>на капитальный ремонт помещения первого этажа №20,21,22,25,26,27,28,29 и второго этажа №1,2.3 по адресу: г.Озёрск,Челябинская область,здание ОТИ НИЯУ МИФИ,ул.Победы,48</v>
      </c>
      <c r="H419" s="2">
        <v>0</v>
      </c>
      <c r="I419" s="2"/>
      <c r="J419" s="2"/>
      <c r="K419" s="2"/>
      <c r="L419" s="2"/>
      <c r="M419" s="2"/>
      <c r="N419" s="2"/>
      <c r="O419" s="2">
        <f t="shared" ref="O419:T419" si="336">ROUND(O387,2)</f>
        <v>1073241.75</v>
      </c>
      <c r="P419" s="2">
        <f t="shared" si="336"/>
        <v>937287.13</v>
      </c>
      <c r="Q419" s="2">
        <f t="shared" si="336"/>
        <v>31401.43</v>
      </c>
      <c r="R419" s="2">
        <f t="shared" si="336"/>
        <v>3956.79</v>
      </c>
      <c r="S419" s="2">
        <f t="shared" si="336"/>
        <v>104553.19</v>
      </c>
      <c r="T419" s="2">
        <f t="shared" si="336"/>
        <v>0</v>
      </c>
      <c r="U419" s="2">
        <f>U387</f>
        <v>1812.5792505999996</v>
      </c>
      <c r="V419" s="2">
        <f>V387</f>
        <v>49.417139999999996</v>
      </c>
      <c r="W419" s="2">
        <f>ROUND(W387,2)</f>
        <v>0</v>
      </c>
      <c r="X419" s="2">
        <f>ROUND(X387,2)</f>
        <v>111874.25</v>
      </c>
      <c r="Y419" s="2">
        <f>ROUND(Y387,2)</f>
        <v>65116.22</v>
      </c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>
        <f t="shared" ref="AO419:BC419" si="337">ROUND(AO387,2)</f>
        <v>0</v>
      </c>
      <c r="AP419" s="2">
        <f t="shared" si="337"/>
        <v>0</v>
      </c>
      <c r="AQ419" s="2">
        <f t="shared" si="337"/>
        <v>0</v>
      </c>
      <c r="AR419" s="2">
        <f t="shared" si="337"/>
        <v>1250232.22</v>
      </c>
      <c r="AS419" s="2">
        <f t="shared" si="337"/>
        <v>959080.83</v>
      </c>
      <c r="AT419" s="2">
        <f t="shared" si="337"/>
        <v>287290.18</v>
      </c>
      <c r="AU419" s="2">
        <f t="shared" si="337"/>
        <v>3861.21</v>
      </c>
      <c r="AV419" s="2">
        <f t="shared" si="337"/>
        <v>937287.13</v>
      </c>
      <c r="AW419" s="2">
        <f t="shared" si="337"/>
        <v>937287.13</v>
      </c>
      <c r="AX419" s="2">
        <f t="shared" si="337"/>
        <v>0</v>
      </c>
      <c r="AY419" s="2">
        <f t="shared" si="337"/>
        <v>937287.13</v>
      </c>
      <c r="AZ419" s="2">
        <f t="shared" si="337"/>
        <v>0</v>
      </c>
      <c r="BA419" s="2">
        <f t="shared" si="337"/>
        <v>0</v>
      </c>
      <c r="BB419" s="2">
        <f t="shared" si="337"/>
        <v>0</v>
      </c>
      <c r="BC419" s="2">
        <f t="shared" si="337"/>
        <v>0</v>
      </c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>
        <v>0</v>
      </c>
    </row>
    <row r="421" spans="1:206" x14ac:dyDescent="0.2">
      <c r="A421" s="4">
        <v>50</v>
      </c>
      <c r="B421" s="4">
        <v>0</v>
      </c>
      <c r="C421" s="4">
        <v>0</v>
      </c>
      <c r="D421" s="4">
        <v>1</v>
      </c>
      <c r="E421" s="4">
        <v>201</v>
      </c>
      <c r="F421" s="4">
        <f>ROUND(Source!O419,O421)</f>
        <v>1073241.75</v>
      </c>
      <c r="G421" s="4" t="s">
        <v>313</v>
      </c>
      <c r="H421" s="4" t="s">
        <v>314</v>
      </c>
      <c r="I421" s="4"/>
      <c r="J421" s="4"/>
      <c r="K421" s="4">
        <v>201</v>
      </c>
      <c r="L421" s="4">
        <v>1</v>
      </c>
      <c r="M421" s="4">
        <v>3</v>
      </c>
      <c r="N421" s="4" t="s">
        <v>3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06" x14ac:dyDescent="0.2">
      <c r="A422" s="4">
        <v>50</v>
      </c>
      <c r="B422" s="4">
        <v>0</v>
      </c>
      <c r="C422" s="4">
        <v>0</v>
      </c>
      <c r="D422" s="4">
        <v>1</v>
      </c>
      <c r="E422" s="4">
        <v>202</v>
      </c>
      <c r="F422" s="4">
        <f>ROUND(Source!P419,O422)</f>
        <v>937287.13</v>
      </c>
      <c r="G422" s="4" t="s">
        <v>315</v>
      </c>
      <c r="H422" s="4" t="s">
        <v>316</v>
      </c>
      <c r="I422" s="4"/>
      <c r="J422" s="4"/>
      <c r="K422" s="4">
        <v>202</v>
      </c>
      <c r="L422" s="4">
        <v>2</v>
      </c>
      <c r="M422" s="4">
        <v>3</v>
      </c>
      <c r="N422" s="4" t="s">
        <v>3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06" x14ac:dyDescent="0.2">
      <c r="A423" s="4">
        <v>50</v>
      </c>
      <c r="B423" s="4">
        <v>0</v>
      </c>
      <c r="C423" s="4">
        <v>0</v>
      </c>
      <c r="D423" s="4">
        <v>1</v>
      </c>
      <c r="E423" s="4">
        <v>222</v>
      </c>
      <c r="F423" s="4">
        <f>ROUND(Source!AO419,O423)</f>
        <v>0</v>
      </c>
      <c r="G423" s="4" t="s">
        <v>317</v>
      </c>
      <c r="H423" s="4" t="s">
        <v>318</v>
      </c>
      <c r="I423" s="4"/>
      <c r="J423" s="4"/>
      <c r="K423" s="4">
        <v>222</v>
      </c>
      <c r="L423" s="4">
        <v>3</v>
      </c>
      <c r="M423" s="4">
        <v>3</v>
      </c>
      <c r="N423" s="4" t="s">
        <v>3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06" x14ac:dyDescent="0.2">
      <c r="A424" s="4">
        <v>50</v>
      </c>
      <c r="B424" s="4">
        <v>0</v>
      </c>
      <c r="C424" s="4">
        <v>0</v>
      </c>
      <c r="D424" s="4">
        <v>1</v>
      </c>
      <c r="E424" s="4">
        <v>225</v>
      </c>
      <c r="F424" s="4">
        <f>ROUND(Source!AV419,O424)</f>
        <v>937287.13</v>
      </c>
      <c r="G424" s="4" t="s">
        <v>319</v>
      </c>
      <c r="H424" s="4" t="s">
        <v>320</v>
      </c>
      <c r="I424" s="4"/>
      <c r="J424" s="4"/>
      <c r="K424" s="4">
        <v>225</v>
      </c>
      <c r="L424" s="4">
        <v>4</v>
      </c>
      <c r="M424" s="4">
        <v>3</v>
      </c>
      <c r="N424" s="4" t="s">
        <v>3</v>
      </c>
      <c r="O424" s="4">
        <v>2</v>
      </c>
      <c r="P424" s="4"/>
      <c r="Q424" s="4"/>
      <c r="R424" s="4"/>
      <c r="S424" s="4"/>
      <c r="T424" s="4"/>
      <c r="U424" s="4"/>
      <c r="V424" s="4"/>
      <c r="W424" s="4"/>
    </row>
    <row r="425" spans="1:206" x14ac:dyDescent="0.2">
      <c r="A425" s="4">
        <v>50</v>
      </c>
      <c r="B425" s="4">
        <v>0</v>
      </c>
      <c r="C425" s="4">
        <v>0</v>
      </c>
      <c r="D425" s="4">
        <v>1</v>
      </c>
      <c r="E425" s="4">
        <v>226</v>
      </c>
      <c r="F425" s="4">
        <f>ROUND(Source!AW419,O425)</f>
        <v>937287.13</v>
      </c>
      <c r="G425" s="4" t="s">
        <v>321</v>
      </c>
      <c r="H425" s="4" t="s">
        <v>322</v>
      </c>
      <c r="I425" s="4"/>
      <c r="J425" s="4"/>
      <c r="K425" s="4">
        <v>226</v>
      </c>
      <c r="L425" s="4">
        <v>5</v>
      </c>
      <c r="M425" s="4">
        <v>3</v>
      </c>
      <c r="N425" s="4" t="s">
        <v>3</v>
      </c>
      <c r="O425" s="4">
        <v>2</v>
      </c>
      <c r="P425" s="4"/>
      <c r="Q425" s="4"/>
      <c r="R425" s="4"/>
      <c r="S425" s="4"/>
      <c r="T425" s="4"/>
      <c r="U425" s="4"/>
      <c r="V425" s="4"/>
      <c r="W425" s="4"/>
    </row>
    <row r="426" spans="1:206" x14ac:dyDescent="0.2">
      <c r="A426" s="4">
        <v>50</v>
      </c>
      <c r="B426" s="4">
        <v>0</v>
      </c>
      <c r="C426" s="4">
        <v>0</v>
      </c>
      <c r="D426" s="4">
        <v>1</v>
      </c>
      <c r="E426" s="4">
        <v>227</v>
      </c>
      <c r="F426" s="4">
        <f>ROUND(Source!AX419,O426)</f>
        <v>0</v>
      </c>
      <c r="G426" s="4" t="s">
        <v>323</v>
      </c>
      <c r="H426" s="4" t="s">
        <v>324</v>
      </c>
      <c r="I426" s="4"/>
      <c r="J426" s="4"/>
      <c r="K426" s="4">
        <v>227</v>
      </c>
      <c r="L426" s="4">
        <v>6</v>
      </c>
      <c r="M426" s="4">
        <v>3</v>
      </c>
      <c r="N426" s="4" t="s">
        <v>3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06" x14ac:dyDescent="0.2">
      <c r="A427" s="4">
        <v>50</v>
      </c>
      <c r="B427" s="4">
        <v>0</v>
      </c>
      <c r="C427" s="4">
        <v>0</v>
      </c>
      <c r="D427" s="4">
        <v>1</v>
      </c>
      <c r="E427" s="4">
        <v>228</v>
      </c>
      <c r="F427" s="4">
        <f>ROUND(Source!AY419,O427)</f>
        <v>937287.13</v>
      </c>
      <c r="G427" s="4" t="s">
        <v>325</v>
      </c>
      <c r="H427" s="4" t="s">
        <v>326</v>
      </c>
      <c r="I427" s="4"/>
      <c r="J427" s="4"/>
      <c r="K427" s="4">
        <v>228</v>
      </c>
      <c r="L427" s="4">
        <v>7</v>
      </c>
      <c r="M427" s="4">
        <v>3</v>
      </c>
      <c r="N427" s="4" t="s">
        <v>3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06" x14ac:dyDescent="0.2">
      <c r="A428" s="4">
        <v>50</v>
      </c>
      <c r="B428" s="4">
        <v>0</v>
      </c>
      <c r="C428" s="4">
        <v>0</v>
      </c>
      <c r="D428" s="4">
        <v>1</v>
      </c>
      <c r="E428" s="4">
        <v>216</v>
      </c>
      <c r="F428" s="4">
        <f>ROUND(Source!AP419,O428)</f>
        <v>0</v>
      </c>
      <c r="G428" s="4" t="s">
        <v>327</v>
      </c>
      <c r="H428" s="4" t="s">
        <v>328</v>
      </c>
      <c r="I428" s="4"/>
      <c r="J428" s="4"/>
      <c r="K428" s="4">
        <v>216</v>
      </c>
      <c r="L428" s="4">
        <v>8</v>
      </c>
      <c r="M428" s="4">
        <v>3</v>
      </c>
      <c r="N428" s="4" t="s">
        <v>3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06" x14ac:dyDescent="0.2">
      <c r="A429" s="4">
        <v>50</v>
      </c>
      <c r="B429" s="4">
        <v>0</v>
      </c>
      <c r="C429" s="4">
        <v>0</v>
      </c>
      <c r="D429" s="4">
        <v>1</v>
      </c>
      <c r="E429" s="4">
        <v>223</v>
      </c>
      <c r="F429" s="4">
        <f>ROUND(Source!AQ419,O429)</f>
        <v>0</v>
      </c>
      <c r="G429" s="4" t="s">
        <v>329</v>
      </c>
      <c r="H429" s="4" t="s">
        <v>330</v>
      </c>
      <c r="I429" s="4"/>
      <c r="J429" s="4"/>
      <c r="K429" s="4">
        <v>223</v>
      </c>
      <c r="L429" s="4">
        <v>9</v>
      </c>
      <c r="M429" s="4">
        <v>3</v>
      </c>
      <c r="N429" s="4" t="s">
        <v>3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06" x14ac:dyDescent="0.2">
      <c r="A430" s="4">
        <v>50</v>
      </c>
      <c r="B430" s="4">
        <v>0</v>
      </c>
      <c r="C430" s="4">
        <v>0</v>
      </c>
      <c r="D430" s="4">
        <v>1</v>
      </c>
      <c r="E430" s="4">
        <v>229</v>
      </c>
      <c r="F430" s="4">
        <f>ROUND(Source!AZ419,O430)</f>
        <v>0</v>
      </c>
      <c r="G430" s="4" t="s">
        <v>331</v>
      </c>
      <c r="H430" s="4" t="s">
        <v>332</v>
      </c>
      <c r="I430" s="4"/>
      <c r="J430" s="4"/>
      <c r="K430" s="4">
        <v>229</v>
      </c>
      <c r="L430" s="4">
        <v>10</v>
      </c>
      <c r="M430" s="4">
        <v>3</v>
      </c>
      <c r="N430" s="4" t="s">
        <v>3</v>
      </c>
      <c r="O430" s="4">
        <v>2</v>
      </c>
      <c r="P430" s="4"/>
      <c r="Q430" s="4"/>
      <c r="R430" s="4"/>
      <c r="S430" s="4"/>
      <c r="T430" s="4"/>
      <c r="U430" s="4"/>
      <c r="V430" s="4"/>
      <c r="W430" s="4"/>
    </row>
    <row r="431" spans="1:206" x14ac:dyDescent="0.2">
      <c r="A431" s="4">
        <v>50</v>
      </c>
      <c r="B431" s="4">
        <v>0</v>
      </c>
      <c r="C431" s="4">
        <v>0</v>
      </c>
      <c r="D431" s="4">
        <v>1</v>
      </c>
      <c r="E431" s="4">
        <v>203</v>
      </c>
      <c r="F431" s="4">
        <f>ROUND(Source!Q419,O431)</f>
        <v>31401.43</v>
      </c>
      <c r="G431" s="4" t="s">
        <v>333</v>
      </c>
      <c r="H431" s="4" t="s">
        <v>334</v>
      </c>
      <c r="I431" s="4"/>
      <c r="J431" s="4"/>
      <c r="K431" s="4">
        <v>203</v>
      </c>
      <c r="L431" s="4">
        <v>11</v>
      </c>
      <c r="M431" s="4">
        <v>3</v>
      </c>
      <c r="N431" s="4" t="s">
        <v>3</v>
      </c>
      <c r="O431" s="4">
        <v>2</v>
      </c>
      <c r="P431" s="4"/>
      <c r="Q431" s="4"/>
      <c r="R431" s="4"/>
      <c r="S431" s="4"/>
      <c r="T431" s="4"/>
      <c r="U431" s="4"/>
      <c r="V431" s="4"/>
      <c r="W431" s="4"/>
    </row>
    <row r="432" spans="1:206" x14ac:dyDescent="0.2">
      <c r="A432" s="4">
        <v>50</v>
      </c>
      <c r="B432" s="4">
        <v>0</v>
      </c>
      <c r="C432" s="4">
        <v>0</v>
      </c>
      <c r="D432" s="4">
        <v>1</v>
      </c>
      <c r="E432" s="4">
        <v>231</v>
      </c>
      <c r="F432" s="4">
        <f>ROUND(Source!BB419,O432)</f>
        <v>0</v>
      </c>
      <c r="G432" s="4" t="s">
        <v>335</v>
      </c>
      <c r="H432" s="4" t="s">
        <v>336</v>
      </c>
      <c r="I432" s="4"/>
      <c r="J432" s="4"/>
      <c r="K432" s="4">
        <v>231</v>
      </c>
      <c r="L432" s="4">
        <v>12</v>
      </c>
      <c r="M432" s="4">
        <v>3</v>
      </c>
      <c r="N432" s="4" t="s">
        <v>3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23" x14ac:dyDescent="0.2">
      <c r="A433" s="4">
        <v>50</v>
      </c>
      <c r="B433" s="4">
        <v>0</v>
      </c>
      <c r="C433" s="4">
        <v>0</v>
      </c>
      <c r="D433" s="4">
        <v>1</v>
      </c>
      <c r="E433" s="4">
        <v>204</v>
      </c>
      <c r="F433" s="4">
        <f>ROUND(Source!R419,O433)</f>
        <v>3956.79</v>
      </c>
      <c r="G433" s="4" t="s">
        <v>337</v>
      </c>
      <c r="H433" s="4" t="s">
        <v>338</v>
      </c>
      <c r="I433" s="4"/>
      <c r="J433" s="4"/>
      <c r="K433" s="4">
        <v>204</v>
      </c>
      <c r="L433" s="4">
        <v>13</v>
      </c>
      <c r="M433" s="4">
        <v>3</v>
      </c>
      <c r="N433" s="4" t="s">
        <v>3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3" x14ac:dyDescent="0.2">
      <c r="A434" s="4">
        <v>50</v>
      </c>
      <c r="B434" s="4">
        <v>0</v>
      </c>
      <c r="C434" s="4">
        <v>0</v>
      </c>
      <c r="D434" s="4">
        <v>1</v>
      </c>
      <c r="E434" s="4">
        <v>205</v>
      </c>
      <c r="F434" s="4">
        <f>ROUND(Source!S419,O434)</f>
        <v>104553.19</v>
      </c>
      <c r="G434" s="4" t="s">
        <v>339</v>
      </c>
      <c r="H434" s="4" t="s">
        <v>340</v>
      </c>
      <c r="I434" s="4"/>
      <c r="J434" s="4"/>
      <c r="K434" s="4">
        <v>205</v>
      </c>
      <c r="L434" s="4">
        <v>14</v>
      </c>
      <c r="M434" s="4">
        <v>3</v>
      </c>
      <c r="N434" s="4" t="s">
        <v>3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 x14ac:dyDescent="0.2">
      <c r="A435" s="4">
        <v>50</v>
      </c>
      <c r="B435" s="4">
        <v>0</v>
      </c>
      <c r="C435" s="4">
        <v>0</v>
      </c>
      <c r="D435" s="4">
        <v>1</v>
      </c>
      <c r="E435" s="4">
        <v>232</v>
      </c>
      <c r="F435" s="4">
        <f>ROUND(Source!BC419,O435)</f>
        <v>0</v>
      </c>
      <c r="G435" s="4" t="s">
        <v>341</v>
      </c>
      <c r="H435" s="4" t="s">
        <v>342</v>
      </c>
      <c r="I435" s="4"/>
      <c r="J435" s="4"/>
      <c r="K435" s="4">
        <v>232</v>
      </c>
      <c r="L435" s="4">
        <v>15</v>
      </c>
      <c r="M435" s="4">
        <v>3</v>
      </c>
      <c r="N435" s="4" t="s">
        <v>3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 x14ac:dyDescent="0.2">
      <c r="A436" s="4">
        <v>50</v>
      </c>
      <c r="B436" s="4">
        <v>0</v>
      </c>
      <c r="C436" s="4">
        <v>0</v>
      </c>
      <c r="D436" s="4">
        <v>1</v>
      </c>
      <c r="E436" s="4">
        <v>214</v>
      </c>
      <c r="F436" s="4">
        <f>ROUND(Source!AS419,O436)</f>
        <v>959080.83</v>
      </c>
      <c r="G436" s="4" t="s">
        <v>343</v>
      </c>
      <c r="H436" s="4" t="s">
        <v>344</v>
      </c>
      <c r="I436" s="4"/>
      <c r="J436" s="4"/>
      <c r="K436" s="4">
        <v>214</v>
      </c>
      <c r="L436" s="4">
        <v>16</v>
      </c>
      <c r="M436" s="4">
        <v>3</v>
      </c>
      <c r="N436" s="4" t="s">
        <v>3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 x14ac:dyDescent="0.2">
      <c r="A437" s="4">
        <v>50</v>
      </c>
      <c r="B437" s="4">
        <v>0</v>
      </c>
      <c r="C437" s="4">
        <v>0</v>
      </c>
      <c r="D437" s="4">
        <v>1</v>
      </c>
      <c r="E437" s="4">
        <v>215</v>
      </c>
      <c r="F437" s="4">
        <f>ROUND(Source!AT419,O437)</f>
        <v>287290.18</v>
      </c>
      <c r="G437" s="4" t="s">
        <v>345</v>
      </c>
      <c r="H437" s="4" t="s">
        <v>346</v>
      </c>
      <c r="I437" s="4"/>
      <c r="J437" s="4"/>
      <c r="K437" s="4">
        <v>215</v>
      </c>
      <c r="L437" s="4">
        <v>17</v>
      </c>
      <c r="M437" s="4">
        <v>3</v>
      </c>
      <c r="N437" s="4" t="s">
        <v>3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 x14ac:dyDescent="0.2">
      <c r="A438" s="4">
        <v>50</v>
      </c>
      <c r="B438" s="4">
        <v>0</v>
      </c>
      <c r="C438" s="4">
        <v>0</v>
      </c>
      <c r="D438" s="4">
        <v>1</v>
      </c>
      <c r="E438" s="4">
        <v>217</v>
      </c>
      <c r="F438" s="4">
        <f>ROUND(Source!AU419,O438)</f>
        <v>3861.21</v>
      </c>
      <c r="G438" s="4" t="s">
        <v>347</v>
      </c>
      <c r="H438" s="4" t="s">
        <v>348</v>
      </c>
      <c r="I438" s="4"/>
      <c r="J438" s="4"/>
      <c r="K438" s="4">
        <v>217</v>
      </c>
      <c r="L438" s="4">
        <v>18</v>
      </c>
      <c r="M438" s="4">
        <v>3</v>
      </c>
      <c r="N438" s="4" t="s">
        <v>3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3" x14ac:dyDescent="0.2">
      <c r="A439" s="4">
        <v>50</v>
      </c>
      <c r="B439" s="4">
        <v>0</v>
      </c>
      <c r="C439" s="4">
        <v>0</v>
      </c>
      <c r="D439" s="4">
        <v>1</v>
      </c>
      <c r="E439" s="4">
        <v>230</v>
      </c>
      <c r="F439" s="4">
        <f>ROUND(Source!BA419,O439)</f>
        <v>0</v>
      </c>
      <c r="G439" s="4" t="s">
        <v>349</v>
      </c>
      <c r="H439" s="4" t="s">
        <v>350</v>
      </c>
      <c r="I439" s="4"/>
      <c r="J439" s="4"/>
      <c r="K439" s="4">
        <v>230</v>
      </c>
      <c r="L439" s="4">
        <v>19</v>
      </c>
      <c r="M439" s="4">
        <v>3</v>
      </c>
      <c r="N439" s="4" t="s">
        <v>3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3" x14ac:dyDescent="0.2">
      <c r="A440" s="4">
        <v>50</v>
      </c>
      <c r="B440" s="4">
        <v>0</v>
      </c>
      <c r="C440" s="4">
        <v>0</v>
      </c>
      <c r="D440" s="4">
        <v>1</v>
      </c>
      <c r="E440" s="4">
        <v>206</v>
      </c>
      <c r="F440" s="4">
        <f>ROUND(Source!T419,O440)</f>
        <v>0</v>
      </c>
      <c r="G440" s="4" t="s">
        <v>351</v>
      </c>
      <c r="H440" s="4" t="s">
        <v>352</v>
      </c>
      <c r="I440" s="4"/>
      <c r="J440" s="4"/>
      <c r="K440" s="4">
        <v>206</v>
      </c>
      <c r="L440" s="4">
        <v>20</v>
      </c>
      <c r="M440" s="4">
        <v>3</v>
      </c>
      <c r="N440" s="4" t="s">
        <v>3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23" x14ac:dyDescent="0.2">
      <c r="A441" s="4">
        <v>50</v>
      </c>
      <c r="B441" s="4">
        <v>0</v>
      </c>
      <c r="C441" s="4">
        <v>0</v>
      </c>
      <c r="D441" s="4">
        <v>1</v>
      </c>
      <c r="E441" s="4">
        <v>207</v>
      </c>
      <c r="F441" s="4">
        <f>Source!U419</f>
        <v>1812.5792505999996</v>
      </c>
      <c r="G441" s="4" t="s">
        <v>353</v>
      </c>
      <c r="H441" s="4" t="s">
        <v>354</v>
      </c>
      <c r="I441" s="4"/>
      <c r="J441" s="4"/>
      <c r="K441" s="4">
        <v>207</v>
      </c>
      <c r="L441" s="4">
        <v>21</v>
      </c>
      <c r="M441" s="4">
        <v>3</v>
      </c>
      <c r="N441" s="4" t="s">
        <v>3</v>
      </c>
      <c r="O441" s="4">
        <v>-1</v>
      </c>
      <c r="P441" s="4"/>
      <c r="Q441" s="4"/>
      <c r="R441" s="4"/>
      <c r="S441" s="4"/>
      <c r="T441" s="4"/>
      <c r="U441" s="4"/>
      <c r="V441" s="4"/>
      <c r="W441" s="4"/>
    </row>
    <row r="442" spans="1:23" x14ac:dyDescent="0.2">
      <c r="A442" s="4">
        <v>50</v>
      </c>
      <c r="B442" s="4">
        <v>0</v>
      </c>
      <c r="C442" s="4">
        <v>0</v>
      </c>
      <c r="D442" s="4">
        <v>1</v>
      </c>
      <c r="E442" s="4">
        <v>208</v>
      </c>
      <c r="F442" s="4">
        <f>Source!V419</f>
        <v>49.417139999999996</v>
      </c>
      <c r="G442" s="4" t="s">
        <v>355</v>
      </c>
      <c r="H442" s="4" t="s">
        <v>356</v>
      </c>
      <c r="I442" s="4"/>
      <c r="J442" s="4"/>
      <c r="K442" s="4">
        <v>208</v>
      </c>
      <c r="L442" s="4">
        <v>22</v>
      </c>
      <c r="M442" s="4">
        <v>3</v>
      </c>
      <c r="N442" s="4" t="s">
        <v>3</v>
      </c>
      <c r="O442" s="4">
        <v>-1</v>
      </c>
      <c r="P442" s="4"/>
      <c r="Q442" s="4"/>
      <c r="R442" s="4"/>
      <c r="S442" s="4"/>
      <c r="T442" s="4"/>
      <c r="U442" s="4"/>
      <c r="V442" s="4"/>
      <c r="W442" s="4"/>
    </row>
    <row r="443" spans="1:23" x14ac:dyDescent="0.2">
      <c r="A443" s="4">
        <v>50</v>
      </c>
      <c r="B443" s="4">
        <v>0</v>
      </c>
      <c r="C443" s="4">
        <v>0</v>
      </c>
      <c r="D443" s="4">
        <v>1</v>
      </c>
      <c r="E443" s="4">
        <v>209</v>
      </c>
      <c r="F443" s="4">
        <f>ROUND(Source!W419,O443)</f>
        <v>0</v>
      </c>
      <c r="G443" s="4" t="s">
        <v>357</v>
      </c>
      <c r="H443" s="4" t="s">
        <v>358</v>
      </c>
      <c r="I443" s="4"/>
      <c r="J443" s="4"/>
      <c r="K443" s="4">
        <v>209</v>
      </c>
      <c r="L443" s="4">
        <v>23</v>
      </c>
      <c r="M443" s="4">
        <v>3</v>
      </c>
      <c r="N443" s="4" t="s">
        <v>3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3" x14ac:dyDescent="0.2">
      <c r="A444" s="4">
        <v>50</v>
      </c>
      <c r="B444" s="4">
        <v>0</v>
      </c>
      <c r="C444" s="4">
        <v>0</v>
      </c>
      <c r="D444" s="4">
        <v>1</v>
      </c>
      <c r="E444" s="4">
        <v>210</v>
      </c>
      <c r="F444" s="4">
        <f>ROUND(Source!X419,O444)</f>
        <v>111874.25</v>
      </c>
      <c r="G444" s="4" t="s">
        <v>359</v>
      </c>
      <c r="H444" s="4" t="s">
        <v>360</v>
      </c>
      <c r="I444" s="4"/>
      <c r="J444" s="4"/>
      <c r="K444" s="4">
        <v>210</v>
      </c>
      <c r="L444" s="4">
        <v>24</v>
      </c>
      <c r="M444" s="4">
        <v>3</v>
      </c>
      <c r="N444" s="4" t="s">
        <v>3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3" x14ac:dyDescent="0.2">
      <c r="A445" s="4">
        <v>50</v>
      </c>
      <c r="B445" s="4">
        <v>0</v>
      </c>
      <c r="C445" s="4">
        <v>0</v>
      </c>
      <c r="D445" s="4">
        <v>1</v>
      </c>
      <c r="E445" s="4">
        <v>211</v>
      </c>
      <c r="F445" s="4">
        <f>ROUND(Source!Y419,O445)</f>
        <v>65116.22</v>
      </c>
      <c r="G445" s="4" t="s">
        <v>361</v>
      </c>
      <c r="H445" s="4" t="s">
        <v>362</v>
      </c>
      <c r="I445" s="4"/>
      <c r="J445" s="4"/>
      <c r="K445" s="4">
        <v>211</v>
      </c>
      <c r="L445" s="4">
        <v>25</v>
      </c>
      <c r="M445" s="4">
        <v>3</v>
      </c>
      <c r="N445" s="4" t="s">
        <v>3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3" x14ac:dyDescent="0.2">
      <c r="A446" s="4">
        <v>50</v>
      </c>
      <c r="B446" s="4">
        <v>0</v>
      </c>
      <c r="C446" s="4">
        <v>0</v>
      </c>
      <c r="D446" s="4">
        <v>1</v>
      </c>
      <c r="E446" s="4">
        <v>224</v>
      </c>
      <c r="F446" s="4">
        <f>ROUND(Source!AR419,O446)</f>
        <v>1250232.22</v>
      </c>
      <c r="G446" s="4" t="s">
        <v>363</v>
      </c>
      <c r="H446" s="4" t="s">
        <v>364</v>
      </c>
      <c r="I446" s="4"/>
      <c r="J446" s="4"/>
      <c r="K446" s="4">
        <v>224</v>
      </c>
      <c r="L446" s="4">
        <v>26</v>
      </c>
      <c r="M446" s="4">
        <v>3</v>
      </c>
      <c r="N446" s="4" t="s">
        <v>3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9" spans="1:14" x14ac:dyDescent="0.2">
      <c r="A449">
        <v>70</v>
      </c>
      <c r="B449">
        <v>1</v>
      </c>
      <c r="D449">
        <v>1</v>
      </c>
      <c r="E449" t="s">
        <v>730</v>
      </c>
      <c r="F449" t="s">
        <v>731</v>
      </c>
      <c r="G449">
        <v>0</v>
      </c>
      <c r="H449">
        <v>0</v>
      </c>
      <c r="I449" t="s">
        <v>3</v>
      </c>
      <c r="J449">
        <v>1</v>
      </c>
      <c r="K449">
        <v>0</v>
      </c>
      <c r="L449" t="s">
        <v>3</v>
      </c>
      <c r="M449" t="s">
        <v>3</v>
      </c>
      <c r="N449">
        <v>0</v>
      </c>
    </row>
    <row r="450" spans="1:14" x14ac:dyDescent="0.2">
      <c r="A450">
        <v>70</v>
      </c>
      <c r="B450">
        <v>1</v>
      </c>
      <c r="D450">
        <v>2</v>
      </c>
      <c r="E450" t="s">
        <v>732</v>
      </c>
      <c r="F450" t="s">
        <v>733</v>
      </c>
      <c r="G450">
        <v>1</v>
      </c>
      <c r="H450">
        <v>0</v>
      </c>
      <c r="I450" t="s">
        <v>3</v>
      </c>
      <c r="J450">
        <v>1</v>
      </c>
      <c r="K450">
        <v>0</v>
      </c>
      <c r="L450" t="s">
        <v>3</v>
      </c>
      <c r="M450" t="s">
        <v>3</v>
      </c>
      <c r="N450">
        <v>0</v>
      </c>
    </row>
    <row r="451" spans="1:14" x14ac:dyDescent="0.2">
      <c r="A451">
        <v>70</v>
      </c>
      <c r="B451">
        <v>1</v>
      </c>
      <c r="D451">
        <v>3</v>
      </c>
      <c r="E451" t="s">
        <v>734</v>
      </c>
      <c r="F451" t="s">
        <v>735</v>
      </c>
      <c r="G451">
        <v>0</v>
      </c>
      <c r="H451">
        <v>0</v>
      </c>
      <c r="I451" t="s">
        <v>3</v>
      </c>
      <c r="J451">
        <v>1</v>
      </c>
      <c r="K451">
        <v>0</v>
      </c>
      <c r="L451" t="s">
        <v>3</v>
      </c>
      <c r="M451" t="s">
        <v>3</v>
      </c>
      <c r="N451">
        <v>0</v>
      </c>
    </row>
    <row r="452" spans="1:14" x14ac:dyDescent="0.2">
      <c r="A452">
        <v>70</v>
      </c>
      <c r="B452">
        <v>1</v>
      </c>
      <c r="D452">
        <v>4</v>
      </c>
      <c r="E452" t="s">
        <v>736</v>
      </c>
      <c r="F452" t="s">
        <v>737</v>
      </c>
      <c r="G452">
        <v>0</v>
      </c>
      <c r="H452">
        <v>0</v>
      </c>
      <c r="I452" t="s">
        <v>738</v>
      </c>
      <c r="J452">
        <v>0</v>
      </c>
      <c r="K452">
        <v>0</v>
      </c>
      <c r="L452" t="s">
        <v>3</v>
      </c>
      <c r="M452" t="s">
        <v>3</v>
      </c>
      <c r="N452">
        <v>0</v>
      </c>
    </row>
    <row r="453" spans="1:14" x14ac:dyDescent="0.2">
      <c r="A453">
        <v>70</v>
      </c>
      <c r="B453">
        <v>1</v>
      </c>
      <c r="D453">
        <v>5</v>
      </c>
      <c r="E453" t="s">
        <v>739</v>
      </c>
      <c r="F453" t="s">
        <v>740</v>
      </c>
      <c r="G453">
        <v>0</v>
      </c>
      <c r="H453">
        <v>0</v>
      </c>
      <c r="I453" t="s">
        <v>741</v>
      </c>
      <c r="J453">
        <v>0</v>
      </c>
      <c r="K453">
        <v>0</v>
      </c>
      <c r="L453" t="s">
        <v>3</v>
      </c>
      <c r="M453" t="s">
        <v>3</v>
      </c>
      <c r="N453">
        <v>0</v>
      </c>
    </row>
    <row r="454" spans="1:14" x14ac:dyDescent="0.2">
      <c r="A454">
        <v>70</v>
      </c>
      <c r="B454">
        <v>1</v>
      </c>
      <c r="D454">
        <v>6</v>
      </c>
      <c r="E454" t="s">
        <v>742</v>
      </c>
      <c r="F454" t="s">
        <v>743</v>
      </c>
      <c r="G454">
        <v>0</v>
      </c>
      <c r="H454">
        <v>0</v>
      </c>
      <c r="I454" t="s">
        <v>744</v>
      </c>
      <c r="J454">
        <v>0</v>
      </c>
      <c r="K454">
        <v>0</v>
      </c>
      <c r="L454" t="s">
        <v>3</v>
      </c>
      <c r="M454" t="s">
        <v>3</v>
      </c>
      <c r="N454">
        <v>0</v>
      </c>
    </row>
    <row r="455" spans="1:14" x14ac:dyDescent="0.2">
      <c r="A455">
        <v>70</v>
      </c>
      <c r="B455">
        <v>1</v>
      </c>
      <c r="D455">
        <v>7</v>
      </c>
      <c r="E455" t="s">
        <v>745</v>
      </c>
      <c r="F455" t="s">
        <v>746</v>
      </c>
      <c r="G455">
        <v>0</v>
      </c>
      <c r="H455">
        <v>0</v>
      </c>
      <c r="I455" t="s">
        <v>3</v>
      </c>
      <c r="J455">
        <v>0</v>
      </c>
      <c r="K455">
        <v>0</v>
      </c>
      <c r="L455" t="s">
        <v>3</v>
      </c>
      <c r="M455" t="s">
        <v>3</v>
      </c>
      <c r="N455">
        <v>0</v>
      </c>
    </row>
    <row r="456" spans="1:14" x14ac:dyDescent="0.2">
      <c r="A456">
        <v>70</v>
      </c>
      <c r="B456">
        <v>1</v>
      </c>
      <c r="D456">
        <v>8</v>
      </c>
      <c r="E456" t="s">
        <v>747</v>
      </c>
      <c r="F456" t="s">
        <v>748</v>
      </c>
      <c r="G456">
        <v>0</v>
      </c>
      <c r="H456">
        <v>0</v>
      </c>
      <c r="I456" t="s">
        <v>749</v>
      </c>
      <c r="J456">
        <v>0</v>
      </c>
      <c r="K456">
        <v>0</v>
      </c>
      <c r="L456" t="s">
        <v>3</v>
      </c>
      <c r="M456" t="s">
        <v>3</v>
      </c>
      <c r="N456">
        <v>0</v>
      </c>
    </row>
    <row r="457" spans="1:14" x14ac:dyDescent="0.2">
      <c r="A457">
        <v>70</v>
      </c>
      <c r="B457">
        <v>1</v>
      </c>
      <c r="D457">
        <v>9</v>
      </c>
      <c r="E457" t="s">
        <v>750</v>
      </c>
      <c r="F457" t="s">
        <v>751</v>
      </c>
      <c r="G457">
        <v>0</v>
      </c>
      <c r="H457">
        <v>0</v>
      </c>
      <c r="I457" t="s">
        <v>752</v>
      </c>
      <c r="J457">
        <v>0</v>
      </c>
      <c r="K457">
        <v>0</v>
      </c>
      <c r="L457" t="s">
        <v>3</v>
      </c>
      <c r="M457" t="s">
        <v>3</v>
      </c>
      <c r="N457">
        <v>0</v>
      </c>
    </row>
    <row r="458" spans="1:14" x14ac:dyDescent="0.2">
      <c r="A458">
        <v>70</v>
      </c>
      <c r="B458">
        <v>1</v>
      </c>
      <c r="D458">
        <v>10</v>
      </c>
      <c r="E458" t="s">
        <v>753</v>
      </c>
      <c r="F458" t="s">
        <v>754</v>
      </c>
      <c r="G458">
        <v>0</v>
      </c>
      <c r="H458">
        <v>0</v>
      </c>
      <c r="I458" t="s">
        <v>755</v>
      </c>
      <c r="J458">
        <v>0</v>
      </c>
      <c r="K458">
        <v>0</v>
      </c>
      <c r="L458" t="s">
        <v>3</v>
      </c>
      <c r="M458" t="s">
        <v>3</v>
      </c>
      <c r="N458">
        <v>0</v>
      </c>
    </row>
    <row r="459" spans="1:14" x14ac:dyDescent="0.2">
      <c r="A459">
        <v>70</v>
      </c>
      <c r="B459">
        <v>1</v>
      </c>
      <c r="D459">
        <v>11</v>
      </c>
      <c r="E459" t="s">
        <v>756</v>
      </c>
      <c r="F459" t="s">
        <v>757</v>
      </c>
      <c r="G459">
        <v>0</v>
      </c>
      <c r="H459">
        <v>0</v>
      </c>
      <c r="I459" t="s">
        <v>758</v>
      </c>
      <c r="J459">
        <v>0</v>
      </c>
      <c r="K459">
        <v>0</v>
      </c>
      <c r="L459" t="s">
        <v>3</v>
      </c>
      <c r="M459" t="s">
        <v>3</v>
      </c>
      <c r="N459">
        <v>0</v>
      </c>
    </row>
    <row r="460" spans="1:14" x14ac:dyDescent="0.2">
      <c r="A460">
        <v>70</v>
      </c>
      <c r="B460">
        <v>1</v>
      </c>
      <c r="D460">
        <v>12</v>
      </c>
      <c r="E460" t="s">
        <v>759</v>
      </c>
      <c r="F460" t="s">
        <v>760</v>
      </c>
      <c r="G460">
        <v>0</v>
      </c>
      <c r="H460">
        <v>0</v>
      </c>
      <c r="I460" t="s">
        <v>3</v>
      </c>
      <c r="J460">
        <v>0</v>
      </c>
      <c r="K460">
        <v>0</v>
      </c>
      <c r="L460" t="s">
        <v>3</v>
      </c>
      <c r="M460" t="s">
        <v>3</v>
      </c>
      <c r="N460">
        <v>0</v>
      </c>
    </row>
    <row r="461" spans="1:14" x14ac:dyDescent="0.2">
      <c r="A461">
        <v>70</v>
      </c>
      <c r="B461">
        <v>1</v>
      </c>
      <c r="D461">
        <v>1</v>
      </c>
      <c r="E461" t="s">
        <v>761</v>
      </c>
      <c r="F461" t="s">
        <v>762</v>
      </c>
      <c r="G461">
        <v>0.9</v>
      </c>
      <c r="H461">
        <v>1</v>
      </c>
      <c r="I461" t="s">
        <v>763</v>
      </c>
      <c r="J461">
        <v>0</v>
      </c>
      <c r="K461">
        <v>0</v>
      </c>
      <c r="L461" t="s">
        <v>3</v>
      </c>
      <c r="M461" t="s">
        <v>3</v>
      </c>
      <c r="N461">
        <v>0</v>
      </c>
    </row>
    <row r="462" spans="1:14" x14ac:dyDescent="0.2">
      <c r="A462">
        <v>70</v>
      </c>
      <c r="B462">
        <v>1</v>
      </c>
      <c r="D462">
        <v>2</v>
      </c>
      <c r="E462" t="s">
        <v>764</v>
      </c>
      <c r="F462" t="s">
        <v>765</v>
      </c>
      <c r="G462">
        <v>0.85</v>
      </c>
      <c r="H462">
        <v>1</v>
      </c>
      <c r="I462" t="s">
        <v>766</v>
      </c>
      <c r="J462">
        <v>0</v>
      </c>
      <c r="K462">
        <v>0</v>
      </c>
      <c r="L462" t="s">
        <v>3</v>
      </c>
      <c r="M462" t="s">
        <v>3</v>
      </c>
      <c r="N462">
        <v>0</v>
      </c>
    </row>
    <row r="463" spans="1:14" x14ac:dyDescent="0.2">
      <c r="A463">
        <v>70</v>
      </c>
      <c r="B463">
        <v>1</v>
      </c>
      <c r="D463">
        <v>3</v>
      </c>
      <c r="E463" t="s">
        <v>767</v>
      </c>
      <c r="F463" t="s">
        <v>768</v>
      </c>
      <c r="G463">
        <v>1</v>
      </c>
      <c r="H463">
        <v>0.85</v>
      </c>
      <c r="I463" t="s">
        <v>769</v>
      </c>
      <c r="J463">
        <v>0</v>
      </c>
      <c r="K463">
        <v>0</v>
      </c>
      <c r="L463" t="s">
        <v>3</v>
      </c>
      <c r="M463" t="s">
        <v>3</v>
      </c>
      <c r="N463">
        <v>0</v>
      </c>
    </row>
    <row r="464" spans="1:14" x14ac:dyDescent="0.2">
      <c r="A464">
        <v>70</v>
      </c>
      <c r="B464">
        <v>1</v>
      </c>
      <c r="D464">
        <v>4</v>
      </c>
      <c r="E464" t="s">
        <v>770</v>
      </c>
      <c r="F464" t="s">
        <v>771</v>
      </c>
      <c r="G464">
        <v>1</v>
      </c>
      <c r="H464">
        <v>0</v>
      </c>
      <c r="I464" t="s">
        <v>3</v>
      </c>
      <c r="J464">
        <v>0</v>
      </c>
      <c r="K464">
        <v>0</v>
      </c>
      <c r="L464" t="s">
        <v>3</v>
      </c>
      <c r="M464" t="s">
        <v>3</v>
      </c>
      <c r="N464">
        <v>0</v>
      </c>
    </row>
    <row r="465" spans="1:34" x14ac:dyDescent="0.2">
      <c r="A465">
        <v>70</v>
      </c>
      <c r="B465">
        <v>1</v>
      </c>
      <c r="D465">
        <v>5</v>
      </c>
      <c r="E465" t="s">
        <v>772</v>
      </c>
      <c r="F465" t="s">
        <v>773</v>
      </c>
      <c r="G465">
        <v>1</v>
      </c>
      <c r="H465">
        <v>0.8</v>
      </c>
      <c r="I465" t="s">
        <v>774</v>
      </c>
      <c r="J465">
        <v>0</v>
      </c>
      <c r="K465">
        <v>0</v>
      </c>
      <c r="L465" t="s">
        <v>3</v>
      </c>
      <c r="M465" t="s">
        <v>3</v>
      </c>
      <c r="N465">
        <v>0</v>
      </c>
    </row>
    <row r="466" spans="1:34" x14ac:dyDescent="0.2">
      <c r="A466">
        <v>70</v>
      </c>
      <c r="B466">
        <v>1</v>
      </c>
      <c r="D466">
        <v>6</v>
      </c>
      <c r="E466" t="s">
        <v>775</v>
      </c>
      <c r="F466" t="s">
        <v>776</v>
      </c>
      <c r="G466">
        <v>0.85</v>
      </c>
      <c r="H466">
        <v>0</v>
      </c>
      <c r="I466" t="s">
        <v>3</v>
      </c>
      <c r="J466">
        <v>0</v>
      </c>
      <c r="K466">
        <v>0</v>
      </c>
      <c r="L466" t="s">
        <v>3</v>
      </c>
      <c r="M466" t="s">
        <v>3</v>
      </c>
      <c r="N466">
        <v>0</v>
      </c>
    </row>
    <row r="467" spans="1:34" x14ac:dyDescent="0.2">
      <c r="A467">
        <v>70</v>
      </c>
      <c r="B467">
        <v>1</v>
      </c>
      <c r="D467">
        <v>7</v>
      </c>
      <c r="E467" t="s">
        <v>777</v>
      </c>
      <c r="F467" t="s">
        <v>778</v>
      </c>
      <c r="G467">
        <v>0.8</v>
      </c>
      <c r="H467">
        <v>0</v>
      </c>
      <c r="I467" t="s">
        <v>3</v>
      </c>
      <c r="J467">
        <v>0</v>
      </c>
      <c r="K467">
        <v>0</v>
      </c>
      <c r="L467" t="s">
        <v>3</v>
      </c>
      <c r="M467" t="s">
        <v>3</v>
      </c>
      <c r="N467">
        <v>0</v>
      </c>
    </row>
    <row r="468" spans="1:34" x14ac:dyDescent="0.2">
      <c r="A468">
        <v>70</v>
      </c>
      <c r="B468">
        <v>1</v>
      </c>
      <c r="D468">
        <v>8</v>
      </c>
      <c r="E468" t="s">
        <v>779</v>
      </c>
      <c r="F468" t="s">
        <v>780</v>
      </c>
      <c r="G468">
        <v>0.94</v>
      </c>
      <c r="H468">
        <v>0</v>
      </c>
      <c r="I468" t="s">
        <v>3</v>
      </c>
      <c r="J468">
        <v>0</v>
      </c>
      <c r="K468">
        <v>0</v>
      </c>
      <c r="L468" t="s">
        <v>3</v>
      </c>
      <c r="M468" t="s">
        <v>3</v>
      </c>
      <c r="N468">
        <v>0</v>
      </c>
    </row>
    <row r="469" spans="1:34" x14ac:dyDescent="0.2">
      <c r="A469">
        <v>70</v>
      </c>
      <c r="B469">
        <v>1</v>
      </c>
      <c r="D469">
        <v>9</v>
      </c>
      <c r="E469" t="s">
        <v>781</v>
      </c>
      <c r="F469" t="s">
        <v>782</v>
      </c>
      <c r="G469">
        <v>0.9</v>
      </c>
      <c r="H469">
        <v>0</v>
      </c>
      <c r="I469" t="s">
        <v>3</v>
      </c>
      <c r="J469">
        <v>0</v>
      </c>
      <c r="K469">
        <v>0</v>
      </c>
      <c r="L469" t="s">
        <v>3</v>
      </c>
      <c r="M469" t="s">
        <v>3</v>
      </c>
      <c r="N469">
        <v>0</v>
      </c>
    </row>
    <row r="470" spans="1:34" x14ac:dyDescent="0.2">
      <c r="A470">
        <v>70</v>
      </c>
      <c r="B470">
        <v>1</v>
      </c>
      <c r="D470">
        <v>10</v>
      </c>
      <c r="E470" t="s">
        <v>783</v>
      </c>
      <c r="F470" t="s">
        <v>784</v>
      </c>
      <c r="G470">
        <v>0.6</v>
      </c>
      <c r="H470">
        <v>0</v>
      </c>
      <c r="I470" t="s">
        <v>3</v>
      </c>
      <c r="J470">
        <v>0</v>
      </c>
      <c r="K470">
        <v>0</v>
      </c>
      <c r="L470" t="s">
        <v>3</v>
      </c>
      <c r="M470" t="s">
        <v>3</v>
      </c>
      <c r="N470">
        <v>0</v>
      </c>
    </row>
    <row r="471" spans="1:34" x14ac:dyDescent="0.2">
      <c r="A471">
        <v>70</v>
      </c>
      <c r="B471">
        <v>1</v>
      </c>
      <c r="D471">
        <v>11</v>
      </c>
      <c r="E471" t="s">
        <v>785</v>
      </c>
      <c r="F471" t="s">
        <v>786</v>
      </c>
      <c r="G471">
        <v>1.2</v>
      </c>
      <c r="H471">
        <v>0</v>
      </c>
      <c r="I471" t="s">
        <v>3</v>
      </c>
      <c r="J471">
        <v>0</v>
      </c>
      <c r="K471">
        <v>0</v>
      </c>
      <c r="L471" t="s">
        <v>3</v>
      </c>
      <c r="M471" t="s">
        <v>3</v>
      </c>
      <c r="N471">
        <v>0</v>
      </c>
    </row>
    <row r="472" spans="1:34" x14ac:dyDescent="0.2">
      <c r="A472">
        <v>70</v>
      </c>
      <c r="B472">
        <v>1</v>
      </c>
      <c r="D472">
        <v>12</v>
      </c>
      <c r="E472" t="s">
        <v>787</v>
      </c>
      <c r="F472" t="s">
        <v>788</v>
      </c>
      <c r="G472">
        <v>0</v>
      </c>
      <c r="H472">
        <v>0</v>
      </c>
      <c r="I472" t="s">
        <v>3</v>
      </c>
      <c r="J472">
        <v>0</v>
      </c>
      <c r="K472">
        <v>0</v>
      </c>
      <c r="L472" t="s">
        <v>3</v>
      </c>
      <c r="M472" t="s">
        <v>3</v>
      </c>
      <c r="N472">
        <v>0</v>
      </c>
    </row>
    <row r="473" spans="1:34" x14ac:dyDescent="0.2">
      <c r="A473">
        <v>70</v>
      </c>
      <c r="B473">
        <v>1</v>
      </c>
      <c r="D473">
        <v>13</v>
      </c>
      <c r="E473" t="s">
        <v>789</v>
      </c>
      <c r="F473" t="s">
        <v>790</v>
      </c>
      <c r="G473">
        <v>0.94</v>
      </c>
      <c r="H473">
        <v>0</v>
      </c>
      <c r="I473" t="s">
        <v>3</v>
      </c>
      <c r="J473">
        <v>0</v>
      </c>
      <c r="K473">
        <v>0</v>
      </c>
      <c r="L473" t="s">
        <v>3</v>
      </c>
      <c r="M473" t="s">
        <v>3</v>
      </c>
      <c r="N473">
        <v>0</v>
      </c>
    </row>
    <row r="475" spans="1:34" x14ac:dyDescent="0.2">
      <c r="A475">
        <v>-1</v>
      </c>
    </row>
    <row r="477" spans="1:34" x14ac:dyDescent="0.2">
      <c r="A477" s="3">
        <v>75</v>
      </c>
      <c r="B477" s="3" t="s">
        <v>791</v>
      </c>
      <c r="C477" s="3">
        <v>2018</v>
      </c>
      <c r="D477" s="3">
        <v>1</v>
      </c>
      <c r="E477" s="3">
        <v>0</v>
      </c>
      <c r="F477" s="3">
        <v>0</v>
      </c>
      <c r="G477" s="3">
        <v>0</v>
      </c>
      <c r="H477" s="3">
        <v>1</v>
      </c>
      <c r="I477" s="3">
        <v>0</v>
      </c>
      <c r="J477" s="3">
        <v>1</v>
      </c>
      <c r="K477" s="3">
        <v>0</v>
      </c>
      <c r="L477" s="3">
        <v>0</v>
      </c>
      <c r="M477" s="3">
        <v>0</v>
      </c>
      <c r="N477" s="3">
        <v>39476960</v>
      </c>
      <c r="O477" s="3">
        <v>1</v>
      </c>
    </row>
    <row r="478" spans="1:34" x14ac:dyDescent="0.2">
      <c r="A478" s="5">
        <v>3</v>
      </c>
      <c r="B478" s="5" t="s">
        <v>792</v>
      </c>
      <c r="C478" s="5">
        <v>6.13</v>
      </c>
      <c r="D478" s="5">
        <v>1</v>
      </c>
      <c r="E478" s="5">
        <v>1</v>
      </c>
      <c r="F478" s="5">
        <v>1</v>
      </c>
      <c r="G478" s="5">
        <v>1</v>
      </c>
      <c r="H478" s="5">
        <v>1</v>
      </c>
      <c r="I478" s="5">
        <v>1</v>
      </c>
      <c r="J478" s="5">
        <v>1</v>
      </c>
      <c r="K478" s="5">
        <v>14.32</v>
      </c>
      <c r="L478" s="5">
        <v>1</v>
      </c>
      <c r="M478" s="5">
        <v>6.13</v>
      </c>
      <c r="N478" s="5">
        <v>1</v>
      </c>
      <c r="O478" s="5">
        <v>1</v>
      </c>
      <c r="P478" s="5">
        <v>1</v>
      </c>
      <c r="Q478" s="5">
        <v>14.32</v>
      </c>
      <c r="R478" s="5">
        <v>1</v>
      </c>
      <c r="S478" s="5" t="s">
        <v>3</v>
      </c>
      <c r="T478" s="5" t="s">
        <v>3</v>
      </c>
      <c r="U478" s="5" t="s">
        <v>3</v>
      </c>
      <c r="V478" s="5" t="s">
        <v>3</v>
      </c>
      <c r="W478" s="5" t="s">
        <v>3</v>
      </c>
      <c r="X478" s="5" t="s">
        <v>3</v>
      </c>
      <c r="Y478" s="5" t="s">
        <v>3</v>
      </c>
      <c r="Z478" s="5" t="s">
        <v>3</v>
      </c>
      <c r="AA478" s="5" t="s">
        <v>3</v>
      </c>
      <c r="AB478" s="5" t="s">
        <v>3</v>
      </c>
      <c r="AC478" s="5" t="s">
        <v>3</v>
      </c>
      <c r="AD478" s="5" t="s">
        <v>3</v>
      </c>
      <c r="AE478" s="5" t="s">
        <v>3</v>
      </c>
      <c r="AF478" s="5" t="s">
        <v>3</v>
      </c>
      <c r="AG478" s="5" t="s">
        <v>3</v>
      </c>
      <c r="AH478" s="5" t="s">
        <v>3</v>
      </c>
    </row>
    <row r="482" spans="1:5" x14ac:dyDescent="0.2">
      <c r="A482">
        <v>65</v>
      </c>
      <c r="C482">
        <v>1</v>
      </c>
      <c r="D482">
        <v>0</v>
      </c>
      <c r="E48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793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39476960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(Source!F404)/1000</f>
        <v>959.08082999999999</v>
      </c>
      <c r="F16" s="7">
        <f>(Source!F405)/1000</f>
        <v>287.29018000000002</v>
      </c>
      <c r="G16" s="7">
        <f>(Source!F396)/1000</f>
        <v>0</v>
      </c>
      <c r="H16" s="7">
        <f>(Source!F406)/1000+(Source!F407)/1000</f>
        <v>3.8612100000000003</v>
      </c>
      <c r="I16" s="7">
        <f>E16+F16+G16+H16</f>
        <v>1250.2322200000001</v>
      </c>
      <c r="J16" s="7">
        <f>(Source!F402)/1000</f>
        <v>104.55319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1073241.75</v>
      </c>
      <c r="AU16" s="7">
        <v>937287.13</v>
      </c>
      <c r="AV16" s="7">
        <v>0</v>
      </c>
      <c r="AW16" s="7">
        <v>0</v>
      </c>
      <c r="AX16" s="7">
        <v>0</v>
      </c>
      <c r="AY16" s="7">
        <v>31401.43</v>
      </c>
      <c r="AZ16" s="7">
        <v>3956.79</v>
      </c>
      <c r="BA16" s="7">
        <v>104553.19</v>
      </c>
      <c r="BB16" s="7">
        <v>959080.83</v>
      </c>
      <c r="BC16" s="7">
        <v>287290.18</v>
      </c>
      <c r="BD16" s="7">
        <v>3861.21</v>
      </c>
      <c r="BE16" s="7">
        <v>0</v>
      </c>
      <c r="BF16" s="7">
        <v>1812.5792506</v>
      </c>
      <c r="BG16" s="7">
        <v>49.417140000000003</v>
      </c>
      <c r="BH16" s="7">
        <v>0</v>
      </c>
      <c r="BI16" s="7">
        <v>111874.25</v>
      </c>
      <c r="BJ16" s="7">
        <v>65116.22</v>
      </c>
      <c r="BK16" s="7">
        <v>1250232.22</v>
      </c>
    </row>
    <row r="18" spans="1:19" x14ac:dyDescent="0.2">
      <c r="A18">
        <v>51</v>
      </c>
      <c r="E18" s="8">
        <f>SUMIF(A16:A17,3,E16:E17)</f>
        <v>959.08082999999999</v>
      </c>
      <c r="F18" s="8">
        <f>SUMIF(A16:A17,3,F16:F17)</f>
        <v>287.29018000000002</v>
      </c>
      <c r="G18" s="8">
        <f>SUMIF(A16:A17,3,G16:G17)</f>
        <v>0</v>
      </c>
      <c r="H18" s="8">
        <f>SUMIF(A16:A17,3,H16:H17)</f>
        <v>3.8612100000000003</v>
      </c>
      <c r="I18" s="8">
        <f>SUMIF(A16:A17,3,I16:I17)</f>
        <v>1250.2322200000001</v>
      </c>
      <c r="J18" s="8">
        <f>SUMIF(A16:A17,3,J16:J17)</f>
        <v>104.55319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1073241.75</v>
      </c>
      <c r="G20" s="4" t="s">
        <v>313</v>
      </c>
      <c r="H20" s="4" t="s">
        <v>314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937287.13</v>
      </c>
      <c r="G21" s="4" t="s">
        <v>315</v>
      </c>
      <c r="H21" s="4" t="s">
        <v>316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317</v>
      </c>
      <c r="H22" s="4" t="s">
        <v>318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937287.13</v>
      </c>
      <c r="G23" s="4" t="s">
        <v>319</v>
      </c>
      <c r="H23" s="4" t="s">
        <v>320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937287.13</v>
      </c>
      <c r="G24" s="4" t="s">
        <v>321</v>
      </c>
      <c r="H24" s="4" t="s">
        <v>322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323</v>
      </c>
      <c r="H25" s="4" t="s">
        <v>324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937287.13</v>
      </c>
      <c r="G26" s="4" t="s">
        <v>325</v>
      </c>
      <c r="H26" s="4" t="s">
        <v>326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327</v>
      </c>
      <c r="H27" s="4" t="s">
        <v>328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329</v>
      </c>
      <c r="H28" s="4" t="s">
        <v>330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331</v>
      </c>
      <c r="H29" s="4" t="s">
        <v>332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31401.43</v>
      </c>
      <c r="G30" s="4" t="s">
        <v>333</v>
      </c>
      <c r="H30" s="4" t="s">
        <v>334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335</v>
      </c>
      <c r="H31" s="4" t="s">
        <v>336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3956.79</v>
      </c>
      <c r="G32" s="4" t="s">
        <v>337</v>
      </c>
      <c r="H32" s="4" t="s">
        <v>338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104553.19</v>
      </c>
      <c r="G33" s="4" t="s">
        <v>339</v>
      </c>
      <c r="H33" s="4" t="s">
        <v>340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341</v>
      </c>
      <c r="H34" s="4" t="s">
        <v>342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959080.83</v>
      </c>
      <c r="G35" s="4" t="s">
        <v>343</v>
      </c>
      <c r="H35" s="4" t="s">
        <v>344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287290.18</v>
      </c>
      <c r="G36" s="4" t="s">
        <v>345</v>
      </c>
      <c r="H36" s="4" t="s">
        <v>346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3861.21</v>
      </c>
      <c r="G37" s="4" t="s">
        <v>347</v>
      </c>
      <c r="H37" s="4" t="s">
        <v>348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349</v>
      </c>
      <c r="H38" s="4" t="s">
        <v>350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351</v>
      </c>
      <c r="H39" s="4" t="s">
        <v>352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1812.5792506</v>
      </c>
      <c r="G40" s="4" t="s">
        <v>353</v>
      </c>
      <c r="H40" s="4" t="s">
        <v>354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49.417140000000003</v>
      </c>
      <c r="G41" s="4" t="s">
        <v>355</v>
      </c>
      <c r="H41" s="4" t="s">
        <v>356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357</v>
      </c>
      <c r="H42" s="4" t="s">
        <v>358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111874.25</v>
      </c>
      <c r="G43" s="4" t="s">
        <v>359</v>
      </c>
      <c r="H43" s="4" t="s">
        <v>360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65116.22</v>
      </c>
      <c r="G44" s="4" t="s">
        <v>361</v>
      </c>
      <c r="H44" s="4" t="s">
        <v>362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1250232.22</v>
      </c>
      <c r="G45" s="4" t="s">
        <v>363</v>
      </c>
      <c r="H45" s="4" t="s">
        <v>364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791</v>
      </c>
      <c r="C50" s="3">
        <v>2018</v>
      </c>
      <c r="D50" s="3">
        <v>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39476960</v>
      </c>
      <c r="O50" s="3">
        <v>1</v>
      </c>
    </row>
    <row r="51" spans="1:34" x14ac:dyDescent="0.2">
      <c r="A51" s="5">
        <v>3</v>
      </c>
      <c r="B51" s="5" t="s">
        <v>792</v>
      </c>
      <c r="C51" s="5">
        <v>6.13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14.32</v>
      </c>
      <c r="L51" s="5">
        <v>1</v>
      </c>
      <c r="M51" s="5">
        <v>6.13</v>
      </c>
      <c r="N51" s="5">
        <v>1</v>
      </c>
      <c r="O51" s="5">
        <v>1</v>
      </c>
      <c r="P51" s="5">
        <v>1</v>
      </c>
      <c r="Q51" s="5">
        <v>14.32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4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39476960</v>
      </c>
      <c r="C1">
        <v>39477383</v>
      </c>
      <c r="D1">
        <v>37065946</v>
      </c>
      <c r="E1">
        <v>1</v>
      </c>
      <c r="F1">
        <v>1</v>
      </c>
      <c r="G1">
        <v>1</v>
      </c>
      <c r="H1">
        <v>1</v>
      </c>
      <c r="I1" t="s">
        <v>794</v>
      </c>
      <c r="J1" t="s">
        <v>3</v>
      </c>
      <c r="K1" t="s">
        <v>795</v>
      </c>
      <c r="L1">
        <v>1191</v>
      </c>
      <c r="N1">
        <v>1013</v>
      </c>
      <c r="O1" t="s">
        <v>796</v>
      </c>
      <c r="P1" t="s">
        <v>796</v>
      </c>
      <c r="Q1">
        <v>1</v>
      </c>
      <c r="W1">
        <v>0</v>
      </c>
      <c r="X1">
        <v>152375061</v>
      </c>
      <c r="Y1">
        <v>74.3</v>
      </c>
      <c r="AA1">
        <v>0</v>
      </c>
      <c r="AB1">
        <v>0</v>
      </c>
      <c r="AC1">
        <v>0</v>
      </c>
      <c r="AD1">
        <v>48.24</v>
      </c>
      <c r="AE1">
        <v>0</v>
      </c>
      <c r="AF1">
        <v>0</v>
      </c>
      <c r="AG1">
        <v>0</v>
      </c>
      <c r="AH1">
        <v>7.87</v>
      </c>
      <c r="AI1">
        <v>1</v>
      </c>
      <c r="AJ1">
        <v>1</v>
      </c>
      <c r="AK1">
        <v>1</v>
      </c>
      <c r="AL1">
        <v>6.13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74.3</v>
      </c>
      <c r="AU1" t="s">
        <v>3</v>
      </c>
      <c r="AV1">
        <v>1</v>
      </c>
      <c r="AW1">
        <v>2</v>
      </c>
      <c r="AX1">
        <v>39477384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18.3521</v>
      </c>
      <c r="CY1">
        <f>AD1</f>
        <v>48.24</v>
      </c>
      <c r="CZ1">
        <f>AH1</f>
        <v>7.87</v>
      </c>
      <c r="DA1">
        <f>AL1</f>
        <v>6.13</v>
      </c>
      <c r="DB1">
        <v>0</v>
      </c>
    </row>
    <row r="2" spans="1:106" x14ac:dyDescent="0.2">
      <c r="A2">
        <f>ROW(Source!A28)</f>
        <v>28</v>
      </c>
      <c r="B2">
        <v>39476960</v>
      </c>
      <c r="C2">
        <v>39477383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797</v>
      </c>
      <c r="J2" t="s">
        <v>3</v>
      </c>
      <c r="K2" t="s">
        <v>798</v>
      </c>
      <c r="L2">
        <v>1191</v>
      </c>
      <c r="N2">
        <v>1013</v>
      </c>
      <c r="O2" t="s">
        <v>796</v>
      </c>
      <c r="P2" t="s">
        <v>796</v>
      </c>
      <c r="Q2">
        <v>1</v>
      </c>
      <c r="W2">
        <v>0</v>
      </c>
      <c r="X2">
        <v>-1417349443</v>
      </c>
      <c r="Y2">
        <v>0.35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6.13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0.35</v>
      </c>
      <c r="AU2" t="s">
        <v>3</v>
      </c>
      <c r="AV2">
        <v>2</v>
      </c>
      <c r="AW2">
        <v>2</v>
      </c>
      <c r="AX2">
        <v>39477385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8.6449999999999999E-2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39476960</v>
      </c>
      <c r="C3">
        <v>39477383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799</v>
      </c>
      <c r="J3" t="s">
        <v>800</v>
      </c>
      <c r="K3" t="s">
        <v>801</v>
      </c>
      <c r="L3">
        <v>1368</v>
      </c>
      <c r="N3">
        <v>1011</v>
      </c>
      <c r="O3" t="s">
        <v>802</v>
      </c>
      <c r="P3" t="s">
        <v>802</v>
      </c>
      <c r="Q3">
        <v>1</v>
      </c>
      <c r="W3">
        <v>0</v>
      </c>
      <c r="X3">
        <v>1188625873</v>
      </c>
      <c r="Y3">
        <v>0.35</v>
      </c>
      <c r="AA3">
        <v>0</v>
      </c>
      <c r="AB3">
        <v>191.62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6.13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0.35</v>
      </c>
      <c r="AU3" t="s">
        <v>3</v>
      </c>
      <c r="AV3">
        <v>0</v>
      </c>
      <c r="AW3">
        <v>2</v>
      </c>
      <c r="AX3">
        <v>39477386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8.6449999999999999E-2</v>
      </c>
      <c r="CY3">
        <f>AB3</f>
        <v>191.62</v>
      </c>
      <c r="CZ3">
        <f>AF3</f>
        <v>31.26</v>
      </c>
      <c r="DA3">
        <f>AJ3</f>
        <v>6.13</v>
      </c>
      <c r="DB3">
        <v>0</v>
      </c>
    </row>
    <row r="4" spans="1:106" x14ac:dyDescent="0.2">
      <c r="A4">
        <f>ROW(Source!A28)</f>
        <v>28</v>
      </c>
      <c r="B4">
        <v>39476960</v>
      </c>
      <c r="C4">
        <v>39477383</v>
      </c>
      <c r="D4">
        <v>36883883</v>
      </c>
      <c r="E4">
        <v>1</v>
      </c>
      <c r="F4">
        <v>1</v>
      </c>
      <c r="G4">
        <v>1</v>
      </c>
      <c r="H4">
        <v>2</v>
      </c>
      <c r="I4" t="s">
        <v>803</v>
      </c>
      <c r="J4" t="s">
        <v>804</v>
      </c>
      <c r="K4" t="s">
        <v>805</v>
      </c>
      <c r="L4">
        <v>1368</v>
      </c>
      <c r="N4">
        <v>1011</v>
      </c>
      <c r="O4" t="s">
        <v>802</v>
      </c>
      <c r="P4" t="s">
        <v>802</v>
      </c>
      <c r="Q4">
        <v>1</v>
      </c>
      <c r="W4">
        <v>0</v>
      </c>
      <c r="X4">
        <v>-2111251057</v>
      </c>
      <c r="Y4">
        <v>1.64</v>
      </c>
      <c r="AA4">
        <v>0</v>
      </c>
      <c r="AB4">
        <v>199.23</v>
      </c>
      <c r="AC4">
        <v>0</v>
      </c>
      <c r="AD4">
        <v>0</v>
      </c>
      <c r="AE4">
        <v>0</v>
      </c>
      <c r="AF4">
        <v>32.5</v>
      </c>
      <c r="AG4">
        <v>0</v>
      </c>
      <c r="AH4">
        <v>0</v>
      </c>
      <c r="AI4">
        <v>1</v>
      </c>
      <c r="AJ4">
        <v>6.13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1.64</v>
      </c>
      <c r="AU4" t="s">
        <v>3</v>
      </c>
      <c r="AV4">
        <v>0</v>
      </c>
      <c r="AW4">
        <v>2</v>
      </c>
      <c r="AX4">
        <v>39477387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0.40508</v>
      </c>
      <c r="CY4">
        <f>AB4</f>
        <v>199.23</v>
      </c>
      <c r="CZ4">
        <f>AF4</f>
        <v>32.5</v>
      </c>
      <c r="DA4">
        <f>AJ4</f>
        <v>6.13</v>
      </c>
      <c r="DB4">
        <v>0</v>
      </c>
    </row>
    <row r="5" spans="1:106" x14ac:dyDescent="0.2">
      <c r="A5">
        <f>ROW(Source!A28)</f>
        <v>28</v>
      </c>
      <c r="B5">
        <v>39476960</v>
      </c>
      <c r="C5">
        <v>39477383</v>
      </c>
      <c r="D5">
        <v>36884481</v>
      </c>
      <c r="E5">
        <v>1</v>
      </c>
      <c r="F5">
        <v>1</v>
      </c>
      <c r="G5">
        <v>1</v>
      </c>
      <c r="H5">
        <v>2</v>
      </c>
      <c r="I5" t="s">
        <v>806</v>
      </c>
      <c r="J5" t="s">
        <v>807</v>
      </c>
      <c r="K5" t="s">
        <v>808</v>
      </c>
      <c r="L5">
        <v>1368</v>
      </c>
      <c r="N5">
        <v>1011</v>
      </c>
      <c r="O5" t="s">
        <v>802</v>
      </c>
      <c r="P5" t="s">
        <v>802</v>
      </c>
      <c r="Q5">
        <v>1</v>
      </c>
      <c r="W5">
        <v>0</v>
      </c>
      <c r="X5">
        <v>1518765163</v>
      </c>
      <c r="Y5">
        <v>3.28</v>
      </c>
      <c r="AA5">
        <v>0</v>
      </c>
      <c r="AB5">
        <v>9.3800000000000008</v>
      </c>
      <c r="AC5">
        <v>0</v>
      </c>
      <c r="AD5">
        <v>0</v>
      </c>
      <c r="AE5">
        <v>0</v>
      </c>
      <c r="AF5">
        <v>1.53</v>
      </c>
      <c r="AG5">
        <v>0</v>
      </c>
      <c r="AH5">
        <v>0</v>
      </c>
      <c r="AI5">
        <v>1</v>
      </c>
      <c r="AJ5">
        <v>6.13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3.28</v>
      </c>
      <c r="AU5" t="s">
        <v>3</v>
      </c>
      <c r="AV5">
        <v>0</v>
      </c>
      <c r="AW5">
        <v>2</v>
      </c>
      <c r="AX5">
        <v>39477388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0.81015999999999999</v>
      </c>
      <c r="CY5">
        <f>AB5</f>
        <v>9.3800000000000008</v>
      </c>
      <c r="CZ5">
        <f>AF5</f>
        <v>1.53</v>
      </c>
      <c r="DA5">
        <f>AJ5</f>
        <v>6.13</v>
      </c>
      <c r="DB5">
        <v>0</v>
      </c>
    </row>
    <row r="6" spans="1:106" x14ac:dyDescent="0.2">
      <c r="A6">
        <f>ROW(Source!A29)</f>
        <v>29</v>
      </c>
      <c r="B6">
        <v>39476960</v>
      </c>
      <c r="C6">
        <v>39477389</v>
      </c>
      <c r="D6">
        <v>37064978</v>
      </c>
      <c r="E6">
        <v>1</v>
      </c>
      <c r="F6">
        <v>1</v>
      </c>
      <c r="G6">
        <v>1</v>
      </c>
      <c r="H6">
        <v>1</v>
      </c>
      <c r="I6" t="s">
        <v>809</v>
      </c>
      <c r="J6" t="s">
        <v>3</v>
      </c>
      <c r="K6" t="s">
        <v>810</v>
      </c>
      <c r="L6">
        <v>1191</v>
      </c>
      <c r="N6">
        <v>1013</v>
      </c>
      <c r="O6" t="s">
        <v>796</v>
      </c>
      <c r="P6" t="s">
        <v>796</v>
      </c>
      <c r="Q6">
        <v>1</v>
      </c>
      <c r="W6">
        <v>0</v>
      </c>
      <c r="X6">
        <v>-719309759</v>
      </c>
      <c r="Y6">
        <v>11.43</v>
      </c>
      <c r="AA6">
        <v>0</v>
      </c>
      <c r="AB6">
        <v>0</v>
      </c>
      <c r="AC6">
        <v>0</v>
      </c>
      <c r="AD6">
        <v>54.31</v>
      </c>
      <c r="AE6">
        <v>0</v>
      </c>
      <c r="AF6">
        <v>0</v>
      </c>
      <c r="AG6">
        <v>0</v>
      </c>
      <c r="AH6">
        <v>8.86</v>
      </c>
      <c r="AI6">
        <v>1</v>
      </c>
      <c r="AJ6">
        <v>1</v>
      </c>
      <c r="AK6">
        <v>1</v>
      </c>
      <c r="AL6">
        <v>6.13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11.43</v>
      </c>
      <c r="AU6" t="s">
        <v>3</v>
      </c>
      <c r="AV6">
        <v>1</v>
      </c>
      <c r="AW6">
        <v>2</v>
      </c>
      <c r="AX6">
        <v>39477390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38.679119999999998</v>
      </c>
      <c r="CY6">
        <f>AD6</f>
        <v>54.31</v>
      </c>
      <c r="CZ6">
        <f>AH6</f>
        <v>8.86</v>
      </c>
      <c r="DA6">
        <f>AL6</f>
        <v>6.13</v>
      </c>
      <c r="DB6">
        <v>0</v>
      </c>
    </row>
    <row r="7" spans="1:106" x14ac:dyDescent="0.2">
      <c r="A7">
        <f>ROW(Source!A29)</f>
        <v>29</v>
      </c>
      <c r="B7">
        <v>39476960</v>
      </c>
      <c r="C7">
        <v>39477389</v>
      </c>
      <c r="D7">
        <v>36883789</v>
      </c>
      <c r="E7">
        <v>1</v>
      </c>
      <c r="F7">
        <v>1</v>
      </c>
      <c r="G7">
        <v>1</v>
      </c>
      <c r="H7">
        <v>2</v>
      </c>
      <c r="I7" t="s">
        <v>811</v>
      </c>
      <c r="J7" t="s">
        <v>812</v>
      </c>
      <c r="K7" t="s">
        <v>813</v>
      </c>
      <c r="L7">
        <v>1368</v>
      </c>
      <c r="N7">
        <v>1011</v>
      </c>
      <c r="O7" t="s">
        <v>802</v>
      </c>
      <c r="P7" t="s">
        <v>802</v>
      </c>
      <c r="Q7">
        <v>1</v>
      </c>
      <c r="W7">
        <v>0</v>
      </c>
      <c r="X7">
        <v>792402865</v>
      </c>
      <c r="Y7">
        <v>2.4</v>
      </c>
      <c r="AA7">
        <v>0</v>
      </c>
      <c r="AB7">
        <v>7.36</v>
      </c>
      <c r="AC7">
        <v>0</v>
      </c>
      <c r="AD7">
        <v>0</v>
      </c>
      <c r="AE7">
        <v>0</v>
      </c>
      <c r="AF7">
        <v>1.2</v>
      </c>
      <c r="AG7">
        <v>0</v>
      </c>
      <c r="AH7">
        <v>0</v>
      </c>
      <c r="AI7">
        <v>1</v>
      </c>
      <c r="AJ7">
        <v>6.13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2.4</v>
      </c>
      <c r="AU7" t="s">
        <v>3</v>
      </c>
      <c r="AV7">
        <v>0</v>
      </c>
      <c r="AW7">
        <v>2</v>
      </c>
      <c r="AX7">
        <v>39477391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8.121599999999999</v>
      </c>
      <c r="CY7">
        <f>AB7</f>
        <v>7.36</v>
      </c>
      <c r="CZ7">
        <f>AF7</f>
        <v>1.2</v>
      </c>
      <c r="DA7">
        <f>AJ7</f>
        <v>6.13</v>
      </c>
      <c r="DB7">
        <v>0</v>
      </c>
    </row>
    <row r="8" spans="1:106" x14ac:dyDescent="0.2">
      <c r="A8">
        <f>ROW(Source!A29)</f>
        <v>29</v>
      </c>
      <c r="B8">
        <v>39476960</v>
      </c>
      <c r="C8">
        <v>39477389</v>
      </c>
      <c r="D8">
        <v>36883883</v>
      </c>
      <c r="E8">
        <v>1</v>
      </c>
      <c r="F8">
        <v>1</v>
      </c>
      <c r="G8">
        <v>1</v>
      </c>
      <c r="H8">
        <v>2</v>
      </c>
      <c r="I8" t="s">
        <v>803</v>
      </c>
      <c r="J8" t="s">
        <v>804</v>
      </c>
      <c r="K8" t="s">
        <v>805</v>
      </c>
      <c r="L8">
        <v>1368</v>
      </c>
      <c r="N8">
        <v>1011</v>
      </c>
      <c r="O8" t="s">
        <v>802</v>
      </c>
      <c r="P8" t="s">
        <v>802</v>
      </c>
      <c r="Q8">
        <v>1</v>
      </c>
      <c r="W8">
        <v>0</v>
      </c>
      <c r="X8">
        <v>-2111251057</v>
      </c>
      <c r="Y8">
        <v>3.32</v>
      </c>
      <c r="AA8">
        <v>0</v>
      </c>
      <c r="AB8">
        <v>199.23</v>
      </c>
      <c r="AC8">
        <v>0</v>
      </c>
      <c r="AD8">
        <v>0</v>
      </c>
      <c r="AE8">
        <v>0</v>
      </c>
      <c r="AF8">
        <v>32.5</v>
      </c>
      <c r="AG8">
        <v>0</v>
      </c>
      <c r="AH8">
        <v>0</v>
      </c>
      <c r="AI8">
        <v>1</v>
      </c>
      <c r="AJ8">
        <v>6.13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3.32</v>
      </c>
      <c r="AU8" t="s">
        <v>3</v>
      </c>
      <c r="AV8">
        <v>0</v>
      </c>
      <c r="AW8">
        <v>2</v>
      </c>
      <c r="AX8">
        <v>39477392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11.234879999999999</v>
      </c>
      <c r="CY8">
        <f>AB8</f>
        <v>199.23</v>
      </c>
      <c r="CZ8">
        <f>AF8</f>
        <v>32.5</v>
      </c>
      <c r="DA8">
        <f>AJ8</f>
        <v>6.13</v>
      </c>
      <c r="DB8">
        <v>0</v>
      </c>
    </row>
    <row r="9" spans="1:106" x14ac:dyDescent="0.2">
      <c r="A9">
        <f>ROW(Source!A29)</f>
        <v>29</v>
      </c>
      <c r="B9">
        <v>39476960</v>
      </c>
      <c r="C9">
        <v>39477389</v>
      </c>
      <c r="D9">
        <v>36884481</v>
      </c>
      <c r="E9">
        <v>1</v>
      </c>
      <c r="F9">
        <v>1</v>
      </c>
      <c r="G9">
        <v>1</v>
      </c>
      <c r="H9">
        <v>2</v>
      </c>
      <c r="I9" t="s">
        <v>806</v>
      </c>
      <c r="J9" t="s">
        <v>807</v>
      </c>
      <c r="K9" t="s">
        <v>808</v>
      </c>
      <c r="L9">
        <v>1368</v>
      </c>
      <c r="N9">
        <v>1011</v>
      </c>
      <c r="O9" t="s">
        <v>802</v>
      </c>
      <c r="P9" t="s">
        <v>802</v>
      </c>
      <c r="Q9">
        <v>1</v>
      </c>
      <c r="W9">
        <v>0</v>
      </c>
      <c r="X9">
        <v>1518765163</v>
      </c>
      <c r="Y9">
        <v>6.14</v>
      </c>
      <c r="AA9">
        <v>0</v>
      </c>
      <c r="AB9">
        <v>9.3800000000000008</v>
      </c>
      <c r="AC9">
        <v>0</v>
      </c>
      <c r="AD9">
        <v>0</v>
      </c>
      <c r="AE9">
        <v>0</v>
      </c>
      <c r="AF9">
        <v>1.53</v>
      </c>
      <c r="AG9">
        <v>0</v>
      </c>
      <c r="AH9">
        <v>0</v>
      </c>
      <c r="AI9">
        <v>1</v>
      </c>
      <c r="AJ9">
        <v>6.13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6.14</v>
      </c>
      <c r="AU9" t="s">
        <v>3</v>
      </c>
      <c r="AV9">
        <v>0</v>
      </c>
      <c r="AW9">
        <v>2</v>
      </c>
      <c r="AX9">
        <v>39477393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20.777759999999997</v>
      </c>
      <c r="CY9">
        <f>AB9</f>
        <v>9.3800000000000008</v>
      </c>
      <c r="CZ9">
        <f>AF9</f>
        <v>1.53</v>
      </c>
      <c r="DA9">
        <f>AJ9</f>
        <v>6.13</v>
      </c>
      <c r="DB9">
        <v>0</v>
      </c>
    </row>
    <row r="10" spans="1:106" x14ac:dyDescent="0.2">
      <c r="A10">
        <f>ROW(Source!A29)</f>
        <v>29</v>
      </c>
      <c r="B10">
        <v>39476960</v>
      </c>
      <c r="C10">
        <v>39477389</v>
      </c>
      <c r="D10">
        <v>36800140</v>
      </c>
      <c r="E10">
        <v>1</v>
      </c>
      <c r="F10">
        <v>1</v>
      </c>
      <c r="G10">
        <v>1</v>
      </c>
      <c r="H10">
        <v>3</v>
      </c>
      <c r="I10" t="s">
        <v>814</v>
      </c>
      <c r="J10" t="s">
        <v>815</v>
      </c>
      <c r="K10" t="s">
        <v>816</v>
      </c>
      <c r="L10">
        <v>1339</v>
      </c>
      <c r="N10">
        <v>1007</v>
      </c>
      <c r="O10" t="s">
        <v>25</v>
      </c>
      <c r="P10" t="s">
        <v>25</v>
      </c>
      <c r="Q10">
        <v>1</v>
      </c>
      <c r="W10">
        <v>0</v>
      </c>
      <c r="X10">
        <v>1706747518</v>
      </c>
      <c r="Y10">
        <v>0.26</v>
      </c>
      <c r="AA10">
        <v>236.07</v>
      </c>
      <c r="AB10">
        <v>0</v>
      </c>
      <c r="AC10">
        <v>0</v>
      </c>
      <c r="AD10">
        <v>0</v>
      </c>
      <c r="AE10">
        <v>38.51</v>
      </c>
      <c r="AF10">
        <v>0</v>
      </c>
      <c r="AG10">
        <v>0</v>
      </c>
      <c r="AH10">
        <v>0</v>
      </c>
      <c r="AI10">
        <v>6.13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0.26</v>
      </c>
      <c r="AU10" t="s">
        <v>3</v>
      </c>
      <c r="AV10">
        <v>0</v>
      </c>
      <c r="AW10">
        <v>2</v>
      </c>
      <c r="AX10">
        <v>39477394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0.87983999999999996</v>
      </c>
      <c r="CY10">
        <f>AA10</f>
        <v>236.07</v>
      </c>
      <c r="CZ10">
        <f>AE10</f>
        <v>38.51</v>
      </c>
      <c r="DA10">
        <f>AI10</f>
        <v>6.13</v>
      </c>
      <c r="DB10">
        <v>0</v>
      </c>
    </row>
    <row r="11" spans="1:106" x14ac:dyDescent="0.2">
      <c r="A11">
        <f>ROW(Source!A29)</f>
        <v>29</v>
      </c>
      <c r="B11">
        <v>39476960</v>
      </c>
      <c r="C11">
        <v>39477389</v>
      </c>
      <c r="D11">
        <v>36800159</v>
      </c>
      <c r="E11">
        <v>1</v>
      </c>
      <c r="F11">
        <v>1</v>
      </c>
      <c r="G11">
        <v>1</v>
      </c>
      <c r="H11">
        <v>3</v>
      </c>
      <c r="I11" t="s">
        <v>817</v>
      </c>
      <c r="J11" t="s">
        <v>818</v>
      </c>
      <c r="K11" t="s">
        <v>819</v>
      </c>
      <c r="L11">
        <v>1339</v>
      </c>
      <c r="N11">
        <v>1007</v>
      </c>
      <c r="O11" t="s">
        <v>25</v>
      </c>
      <c r="P11" t="s">
        <v>25</v>
      </c>
      <c r="Q11">
        <v>1</v>
      </c>
      <c r="W11">
        <v>0</v>
      </c>
      <c r="X11">
        <v>1262771840</v>
      </c>
      <c r="Y11">
        <v>2</v>
      </c>
      <c r="AA11">
        <v>38.130000000000003</v>
      </c>
      <c r="AB11">
        <v>0</v>
      </c>
      <c r="AC11">
        <v>0</v>
      </c>
      <c r="AD11">
        <v>0</v>
      </c>
      <c r="AE11">
        <v>6.22</v>
      </c>
      <c r="AF11">
        <v>0</v>
      </c>
      <c r="AG11">
        <v>0</v>
      </c>
      <c r="AH11">
        <v>0</v>
      </c>
      <c r="AI11">
        <v>6.13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2</v>
      </c>
      <c r="AU11" t="s">
        <v>3</v>
      </c>
      <c r="AV11">
        <v>0</v>
      </c>
      <c r="AW11">
        <v>2</v>
      </c>
      <c r="AX11">
        <v>39477395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6.7679999999999998</v>
      </c>
      <c r="CY11">
        <f>AA11</f>
        <v>38.130000000000003</v>
      </c>
      <c r="CZ11">
        <f>AE11</f>
        <v>6.22</v>
      </c>
      <c r="DA11">
        <f>AI11</f>
        <v>6.13</v>
      </c>
      <c r="DB11">
        <v>0</v>
      </c>
    </row>
    <row r="12" spans="1:106" x14ac:dyDescent="0.2">
      <c r="A12">
        <f>ROW(Source!A30)</f>
        <v>30</v>
      </c>
      <c r="B12">
        <v>39476960</v>
      </c>
      <c r="C12">
        <v>39477396</v>
      </c>
      <c r="D12">
        <v>37064878</v>
      </c>
      <c r="E12">
        <v>1</v>
      </c>
      <c r="F12">
        <v>1</v>
      </c>
      <c r="G12">
        <v>1</v>
      </c>
      <c r="H12">
        <v>1</v>
      </c>
      <c r="I12" t="s">
        <v>820</v>
      </c>
      <c r="J12" t="s">
        <v>3</v>
      </c>
      <c r="K12" t="s">
        <v>821</v>
      </c>
      <c r="L12">
        <v>1191</v>
      </c>
      <c r="N12">
        <v>1013</v>
      </c>
      <c r="O12" t="s">
        <v>796</v>
      </c>
      <c r="P12" t="s">
        <v>796</v>
      </c>
      <c r="Q12">
        <v>1</v>
      </c>
      <c r="W12">
        <v>0</v>
      </c>
      <c r="X12">
        <v>-1081351934</v>
      </c>
      <c r="Y12">
        <v>27.190799999999992</v>
      </c>
      <c r="AA12">
        <v>0</v>
      </c>
      <c r="AB12">
        <v>0</v>
      </c>
      <c r="AC12">
        <v>0</v>
      </c>
      <c r="AD12">
        <v>57.62</v>
      </c>
      <c r="AE12">
        <v>0</v>
      </c>
      <c r="AF12">
        <v>0</v>
      </c>
      <c r="AG12">
        <v>0</v>
      </c>
      <c r="AH12">
        <v>9.4</v>
      </c>
      <c r="AI12">
        <v>1</v>
      </c>
      <c r="AJ12">
        <v>1</v>
      </c>
      <c r="AK12">
        <v>1</v>
      </c>
      <c r="AL12">
        <v>6.13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32.369999999999997</v>
      </c>
      <c r="AU12" t="s">
        <v>37</v>
      </c>
      <c r="AV12">
        <v>1</v>
      </c>
      <c r="AW12">
        <v>2</v>
      </c>
      <c r="AX12">
        <v>39477397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10.876319999999998</v>
      </c>
      <c r="CY12">
        <f>AD12</f>
        <v>57.62</v>
      </c>
      <c r="CZ12">
        <f>AH12</f>
        <v>9.4</v>
      </c>
      <c r="DA12">
        <f>AL12</f>
        <v>6.13</v>
      </c>
      <c r="DB12">
        <v>0</v>
      </c>
    </row>
    <row r="13" spans="1:106" x14ac:dyDescent="0.2">
      <c r="A13">
        <f>ROW(Source!A30)</f>
        <v>30</v>
      </c>
      <c r="B13">
        <v>39476960</v>
      </c>
      <c r="C13">
        <v>39477396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797</v>
      </c>
      <c r="J13" t="s">
        <v>3</v>
      </c>
      <c r="K13" t="s">
        <v>798</v>
      </c>
      <c r="L13">
        <v>1191</v>
      </c>
      <c r="N13">
        <v>1013</v>
      </c>
      <c r="O13" t="s">
        <v>796</v>
      </c>
      <c r="P13" t="s">
        <v>796</v>
      </c>
      <c r="Q13">
        <v>1</v>
      </c>
      <c r="W13">
        <v>0</v>
      </c>
      <c r="X13">
        <v>-1417349443</v>
      </c>
      <c r="Y13">
        <v>5.83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6.13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5.83</v>
      </c>
      <c r="AU13" t="s">
        <v>3</v>
      </c>
      <c r="AV13">
        <v>2</v>
      </c>
      <c r="AW13">
        <v>2</v>
      </c>
      <c r="AX13">
        <v>39477398</v>
      </c>
      <c r="AY13">
        <v>1</v>
      </c>
      <c r="AZ13">
        <v>2048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2.3320000000000003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ROW(Source!A30)</f>
        <v>30</v>
      </c>
      <c r="B14">
        <v>39476960</v>
      </c>
      <c r="C14">
        <v>39477396</v>
      </c>
      <c r="D14">
        <v>36882079</v>
      </c>
      <c r="E14">
        <v>1</v>
      </c>
      <c r="F14">
        <v>1</v>
      </c>
      <c r="G14">
        <v>1</v>
      </c>
      <c r="H14">
        <v>2</v>
      </c>
      <c r="I14" t="s">
        <v>822</v>
      </c>
      <c r="J14" t="s">
        <v>823</v>
      </c>
      <c r="K14" t="s">
        <v>824</v>
      </c>
      <c r="L14">
        <v>1368</v>
      </c>
      <c r="N14">
        <v>1011</v>
      </c>
      <c r="O14" t="s">
        <v>802</v>
      </c>
      <c r="P14" t="s">
        <v>802</v>
      </c>
      <c r="Q14">
        <v>1</v>
      </c>
      <c r="W14">
        <v>0</v>
      </c>
      <c r="X14">
        <v>641541266</v>
      </c>
      <c r="Y14">
        <v>5.8799999999999998E-2</v>
      </c>
      <c r="AA14">
        <v>0</v>
      </c>
      <c r="AB14">
        <v>737.07</v>
      </c>
      <c r="AC14">
        <v>15.42</v>
      </c>
      <c r="AD14">
        <v>0</v>
      </c>
      <c r="AE14">
        <v>0</v>
      </c>
      <c r="AF14">
        <v>120.24</v>
      </c>
      <c r="AG14">
        <v>15.42</v>
      </c>
      <c r="AH14">
        <v>0</v>
      </c>
      <c r="AI14">
        <v>1</v>
      </c>
      <c r="AJ14">
        <v>6.13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7.0000000000000007E-2</v>
      </c>
      <c r="AU14" t="s">
        <v>37</v>
      </c>
      <c r="AV14">
        <v>0</v>
      </c>
      <c r="AW14">
        <v>2</v>
      </c>
      <c r="AX14">
        <v>39477399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2.3519999999999999E-2</v>
      </c>
      <c r="CY14">
        <f t="shared" ref="CY14:CY20" si="0">AB14</f>
        <v>737.07</v>
      </c>
      <c r="CZ14">
        <f t="shared" ref="CZ14:CZ20" si="1">AF14</f>
        <v>120.24</v>
      </c>
      <c r="DA14">
        <f t="shared" ref="DA14:DA20" si="2">AJ14</f>
        <v>6.13</v>
      </c>
      <c r="DB14">
        <v>0</v>
      </c>
    </row>
    <row r="15" spans="1:106" x14ac:dyDescent="0.2">
      <c r="A15">
        <f>ROW(Source!A30)</f>
        <v>30</v>
      </c>
      <c r="B15">
        <v>39476960</v>
      </c>
      <c r="C15">
        <v>39477396</v>
      </c>
      <c r="D15">
        <v>36882159</v>
      </c>
      <c r="E15">
        <v>1</v>
      </c>
      <c r="F15">
        <v>1</v>
      </c>
      <c r="G15">
        <v>1</v>
      </c>
      <c r="H15">
        <v>2</v>
      </c>
      <c r="I15" t="s">
        <v>825</v>
      </c>
      <c r="J15" t="s">
        <v>826</v>
      </c>
      <c r="K15" t="s">
        <v>827</v>
      </c>
      <c r="L15">
        <v>1368</v>
      </c>
      <c r="N15">
        <v>1011</v>
      </c>
      <c r="O15" t="s">
        <v>802</v>
      </c>
      <c r="P15" t="s">
        <v>802</v>
      </c>
      <c r="Q15">
        <v>1</v>
      </c>
      <c r="W15">
        <v>0</v>
      </c>
      <c r="X15">
        <v>-1718674368</v>
      </c>
      <c r="Y15">
        <v>0.10079999999999999</v>
      </c>
      <c r="AA15">
        <v>0</v>
      </c>
      <c r="AB15">
        <v>686.5</v>
      </c>
      <c r="AC15">
        <v>13.5</v>
      </c>
      <c r="AD15">
        <v>0</v>
      </c>
      <c r="AE15">
        <v>0</v>
      </c>
      <c r="AF15">
        <v>111.99</v>
      </c>
      <c r="AG15">
        <v>13.5</v>
      </c>
      <c r="AH15">
        <v>0</v>
      </c>
      <c r="AI15">
        <v>1</v>
      </c>
      <c r="AJ15">
        <v>6.13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0.12</v>
      </c>
      <c r="AU15" t="s">
        <v>37</v>
      </c>
      <c r="AV15">
        <v>0</v>
      </c>
      <c r="AW15">
        <v>2</v>
      </c>
      <c r="AX15">
        <v>39477400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Y15*Source!I30</f>
        <v>4.0319999999999995E-2</v>
      </c>
      <c r="CY15">
        <f t="shared" si="0"/>
        <v>686.5</v>
      </c>
      <c r="CZ15">
        <f t="shared" si="1"/>
        <v>111.99</v>
      </c>
      <c r="DA15">
        <f t="shared" si="2"/>
        <v>6.13</v>
      </c>
      <c r="DB15">
        <v>0</v>
      </c>
    </row>
    <row r="16" spans="1:106" x14ac:dyDescent="0.2">
      <c r="A16">
        <f>ROW(Source!A30)</f>
        <v>30</v>
      </c>
      <c r="B16">
        <v>39476960</v>
      </c>
      <c r="C16">
        <v>39477396</v>
      </c>
      <c r="D16">
        <v>36882180</v>
      </c>
      <c r="E16">
        <v>1</v>
      </c>
      <c r="F16">
        <v>1</v>
      </c>
      <c r="G16">
        <v>1</v>
      </c>
      <c r="H16">
        <v>2</v>
      </c>
      <c r="I16" t="s">
        <v>828</v>
      </c>
      <c r="J16" t="s">
        <v>829</v>
      </c>
      <c r="K16" t="s">
        <v>830</v>
      </c>
      <c r="L16">
        <v>1368</v>
      </c>
      <c r="N16">
        <v>1011</v>
      </c>
      <c r="O16" t="s">
        <v>802</v>
      </c>
      <c r="P16" t="s">
        <v>802</v>
      </c>
      <c r="Q16">
        <v>1</v>
      </c>
      <c r="W16">
        <v>0</v>
      </c>
      <c r="X16">
        <v>92482457</v>
      </c>
      <c r="Y16">
        <v>4.5779999999999994</v>
      </c>
      <c r="AA16">
        <v>0</v>
      </c>
      <c r="AB16">
        <v>593.94000000000005</v>
      </c>
      <c r="AC16">
        <v>13.5</v>
      </c>
      <c r="AD16">
        <v>0</v>
      </c>
      <c r="AE16">
        <v>0</v>
      </c>
      <c r="AF16">
        <v>96.89</v>
      </c>
      <c r="AG16">
        <v>13.5</v>
      </c>
      <c r="AH16">
        <v>0</v>
      </c>
      <c r="AI16">
        <v>1</v>
      </c>
      <c r="AJ16">
        <v>6.13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5.45</v>
      </c>
      <c r="AU16" t="s">
        <v>37</v>
      </c>
      <c r="AV16">
        <v>0</v>
      </c>
      <c r="AW16">
        <v>2</v>
      </c>
      <c r="AX16">
        <v>39477401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Y16*Source!I30</f>
        <v>1.8311999999999999</v>
      </c>
      <c r="CY16">
        <f t="shared" si="0"/>
        <v>593.94000000000005</v>
      </c>
      <c r="CZ16">
        <f t="shared" si="1"/>
        <v>96.89</v>
      </c>
      <c r="DA16">
        <f t="shared" si="2"/>
        <v>6.13</v>
      </c>
      <c r="DB16">
        <v>0</v>
      </c>
    </row>
    <row r="17" spans="1:106" x14ac:dyDescent="0.2">
      <c r="A17">
        <f>ROW(Source!A30)</f>
        <v>30</v>
      </c>
      <c r="B17">
        <v>39476960</v>
      </c>
      <c r="C17">
        <v>39477396</v>
      </c>
      <c r="D17">
        <v>36882292</v>
      </c>
      <c r="E17">
        <v>1</v>
      </c>
      <c r="F17">
        <v>1</v>
      </c>
      <c r="G17">
        <v>1</v>
      </c>
      <c r="H17">
        <v>2</v>
      </c>
      <c r="I17" t="s">
        <v>831</v>
      </c>
      <c r="J17" t="s">
        <v>832</v>
      </c>
      <c r="K17" t="s">
        <v>833</v>
      </c>
      <c r="L17">
        <v>1368</v>
      </c>
      <c r="N17">
        <v>1011</v>
      </c>
      <c r="O17" t="s">
        <v>802</v>
      </c>
      <c r="P17" t="s">
        <v>802</v>
      </c>
      <c r="Q17">
        <v>1</v>
      </c>
      <c r="W17">
        <v>0</v>
      </c>
      <c r="X17">
        <v>-1692889495</v>
      </c>
      <c r="Y17">
        <v>0.80639999999999989</v>
      </c>
      <c r="AA17">
        <v>0</v>
      </c>
      <c r="AB17">
        <v>5.52</v>
      </c>
      <c r="AC17">
        <v>0</v>
      </c>
      <c r="AD17">
        <v>0</v>
      </c>
      <c r="AE17">
        <v>0</v>
      </c>
      <c r="AF17">
        <v>0.9</v>
      </c>
      <c r="AG17">
        <v>0</v>
      </c>
      <c r="AH17">
        <v>0</v>
      </c>
      <c r="AI17">
        <v>1</v>
      </c>
      <c r="AJ17">
        <v>6.13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0.96</v>
      </c>
      <c r="AU17" t="s">
        <v>37</v>
      </c>
      <c r="AV17">
        <v>0</v>
      </c>
      <c r="AW17">
        <v>2</v>
      </c>
      <c r="AX17">
        <v>39477402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Y17*Source!I30</f>
        <v>0.32255999999999996</v>
      </c>
      <c r="CY17">
        <f t="shared" si="0"/>
        <v>5.52</v>
      </c>
      <c r="CZ17">
        <f t="shared" si="1"/>
        <v>0.9</v>
      </c>
      <c r="DA17">
        <f t="shared" si="2"/>
        <v>6.13</v>
      </c>
      <c r="DB17">
        <v>0</v>
      </c>
    </row>
    <row r="18" spans="1:106" x14ac:dyDescent="0.2">
      <c r="A18">
        <f>ROW(Source!A30)</f>
        <v>30</v>
      </c>
      <c r="B18">
        <v>39476960</v>
      </c>
      <c r="C18">
        <v>39477396</v>
      </c>
      <c r="D18">
        <v>36883554</v>
      </c>
      <c r="E18">
        <v>1</v>
      </c>
      <c r="F18">
        <v>1</v>
      </c>
      <c r="G18">
        <v>1</v>
      </c>
      <c r="H18">
        <v>2</v>
      </c>
      <c r="I18" t="s">
        <v>834</v>
      </c>
      <c r="J18" t="s">
        <v>835</v>
      </c>
      <c r="K18" t="s">
        <v>836</v>
      </c>
      <c r="L18">
        <v>1368</v>
      </c>
      <c r="N18">
        <v>1011</v>
      </c>
      <c r="O18" t="s">
        <v>802</v>
      </c>
      <c r="P18" t="s">
        <v>802</v>
      </c>
      <c r="Q18">
        <v>1</v>
      </c>
      <c r="W18">
        <v>0</v>
      </c>
      <c r="X18">
        <v>1372534845</v>
      </c>
      <c r="Y18">
        <v>0.15959999999999996</v>
      </c>
      <c r="AA18">
        <v>0</v>
      </c>
      <c r="AB18">
        <v>402.8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6.13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0.19</v>
      </c>
      <c r="AU18" t="s">
        <v>37</v>
      </c>
      <c r="AV18">
        <v>0</v>
      </c>
      <c r="AW18">
        <v>2</v>
      </c>
      <c r="AX18">
        <v>39477403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Y18*Source!I30</f>
        <v>6.3839999999999994E-2</v>
      </c>
      <c r="CY18">
        <f t="shared" si="0"/>
        <v>402.8</v>
      </c>
      <c r="CZ18">
        <f t="shared" si="1"/>
        <v>65.709999999999994</v>
      </c>
      <c r="DA18">
        <f t="shared" si="2"/>
        <v>6.13</v>
      </c>
      <c r="DB18">
        <v>0</v>
      </c>
    </row>
    <row r="19" spans="1:106" x14ac:dyDescent="0.2">
      <c r="A19">
        <f>ROW(Source!A30)</f>
        <v>30</v>
      </c>
      <c r="B19">
        <v>39476960</v>
      </c>
      <c r="C19">
        <v>39477396</v>
      </c>
      <c r="D19">
        <v>36883789</v>
      </c>
      <c r="E19">
        <v>1</v>
      </c>
      <c r="F19">
        <v>1</v>
      </c>
      <c r="G19">
        <v>1</v>
      </c>
      <c r="H19">
        <v>2</v>
      </c>
      <c r="I19" t="s">
        <v>811</v>
      </c>
      <c r="J19" t="s">
        <v>812</v>
      </c>
      <c r="K19" t="s">
        <v>813</v>
      </c>
      <c r="L19">
        <v>1368</v>
      </c>
      <c r="N19">
        <v>1011</v>
      </c>
      <c r="O19" t="s">
        <v>802</v>
      </c>
      <c r="P19" t="s">
        <v>802</v>
      </c>
      <c r="Q19">
        <v>1</v>
      </c>
      <c r="W19">
        <v>0</v>
      </c>
      <c r="X19">
        <v>792402865</v>
      </c>
      <c r="Y19">
        <v>1.4111999999999998</v>
      </c>
      <c r="AA19">
        <v>0</v>
      </c>
      <c r="AB19">
        <v>7.36</v>
      </c>
      <c r="AC19">
        <v>0</v>
      </c>
      <c r="AD19">
        <v>0</v>
      </c>
      <c r="AE19">
        <v>0</v>
      </c>
      <c r="AF19">
        <v>1.2</v>
      </c>
      <c r="AG19">
        <v>0</v>
      </c>
      <c r="AH19">
        <v>0</v>
      </c>
      <c r="AI19">
        <v>1</v>
      </c>
      <c r="AJ19">
        <v>6.13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1.68</v>
      </c>
      <c r="AU19" t="s">
        <v>37</v>
      </c>
      <c r="AV19">
        <v>0</v>
      </c>
      <c r="AW19">
        <v>2</v>
      </c>
      <c r="AX19">
        <v>39477404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Y19*Source!I30</f>
        <v>0.56447999999999998</v>
      </c>
      <c r="CY19">
        <f t="shared" si="0"/>
        <v>7.36</v>
      </c>
      <c r="CZ19">
        <f t="shared" si="1"/>
        <v>1.2</v>
      </c>
      <c r="DA19">
        <f t="shared" si="2"/>
        <v>6.13</v>
      </c>
      <c r="DB19">
        <v>0</v>
      </c>
    </row>
    <row r="20" spans="1:106" x14ac:dyDescent="0.2">
      <c r="A20">
        <f>ROW(Source!A30)</f>
        <v>30</v>
      </c>
      <c r="B20">
        <v>39476960</v>
      </c>
      <c r="C20">
        <v>39477396</v>
      </c>
      <c r="D20">
        <v>36883836</v>
      </c>
      <c r="E20">
        <v>1</v>
      </c>
      <c r="F20">
        <v>1</v>
      </c>
      <c r="G20">
        <v>1</v>
      </c>
      <c r="H20">
        <v>2</v>
      </c>
      <c r="I20" t="s">
        <v>837</v>
      </c>
      <c r="J20" t="s">
        <v>838</v>
      </c>
      <c r="K20" t="s">
        <v>839</v>
      </c>
      <c r="L20">
        <v>1368</v>
      </c>
      <c r="N20">
        <v>1011</v>
      </c>
      <c r="O20" t="s">
        <v>802</v>
      </c>
      <c r="P20" t="s">
        <v>802</v>
      </c>
      <c r="Q20">
        <v>1</v>
      </c>
      <c r="W20">
        <v>0</v>
      </c>
      <c r="X20">
        <v>1323835807</v>
      </c>
      <c r="Y20">
        <v>8.0807999999999982</v>
      </c>
      <c r="AA20">
        <v>0</v>
      </c>
      <c r="AB20">
        <v>75.459999999999994</v>
      </c>
      <c r="AC20">
        <v>0</v>
      </c>
      <c r="AD20">
        <v>0</v>
      </c>
      <c r="AE20">
        <v>0</v>
      </c>
      <c r="AF20">
        <v>12.31</v>
      </c>
      <c r="AG20">
        <v>0</v>
      </c>
      <c r="AH20">
        <v>0</v>
      </c>
      <c r="AI20">
        <v>1</v>
      </c>
      <c r="AJ20">
        <v>6.13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9.6199999999999992</v>
      </c>
      <c r="AU20" t="s">
        <v>37</v>
      </c>
      <c r="AV20">
        <v>0</v>
      </c>
      <c r="AW20">
        <v>2</v>
      </c>
      <c r="AX20">
        <v>39477405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Y20*Source!I30</f>
        <v>3.2323199999999996</v>
      </c>
      <c r="CY20">
        <f t="shared" si="0"/>
        <v>75.459999999999994</v>
      </c>
      <c r="CZ20">
        <f t="shared" si="1"/>
        <v>12.31</v>
      </c>
      <c r="DA20">
        <f t="shared" si="2"/>
        <v>6.13</v>
      </c>
      <c r="DB20">
        <v>0</v>
      </c>
    </row>
    <row r="21" spans="1:106" x14ac:dyDescent="0.2">
      <c r="A21">
        <f>ROW(Source!A30)</f>
        <v>30</v>
      </c>
      <c r="B21">
        <v>39476960</v>
      </c>
      <c r="C21">
        <v>39477396</v>
      </c>
      <c r="D21">
        <v>36800159</v>
      </c>
      <c r="E21">
        <v>1</v>
      </c>
      <c r="F21">
        <v>1</v>
      </c>
      <c r="G21">
        <v>1</v>
      </c>
      <c r="H21">
        <v>3</v>
      </c>
      <c r="I21" t="s">
        <v>817</v>
      </c>
      <c r="J21" t="s">
        <v>818</v>
      </c>
      <c r="K21" t="s">
        <v>819</v>
      </c>
      <c r="L21">
        <v>1339</v>
      </c>
      <c r="N21">
        <v>1007</v>
      </c>
      <c r="O21" t="s">
        <v>25</v>
      </c>
      <c r="P21" t="s">
        <v>25</v>
      </c>
      <c r="Q21">
        <v>1</v>
      </c>
      <c r="W21">
        <v>0</v>
      </c>
      <c r="X21">
        <v>1262771840</v>
      </c>
      <c r="Y21">
        <v>0</v>
      </c>
      <c r="AA21">
        <v>38.130000000000003</v>
      </c>
      <c r="AB21">
        <v>0</v>
      </c>
      <c r="AC21">
        <v>0</v>
      </c>
      <c r="AD21">
        <v>0</v>
      </c>
      <c r="AE21">
        <v>6.22</v>
      </c>
      <c r="AF21">
        <v>0</v>
      </c>
      <c r="AG21">
        <v>0</v>
      </c>
      <c r="AH21">
        <v>0</v>
      </c>
      <c r="AI21">
        <v>6.13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1.37</v>
      </c>
      <c r="AU21" t="s">
        <v>36</v>
      </c>
      <c r="AV21">
        <v>0</v>
      </c>
      <c r="AW21">
        <v>2</v>
      </c>
      <c r="AX21">
        <v>39477406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Y21*Source!I30</f>
        <v>0</v>
      </c>
      <c r="CY21">
        <f t="shared" ref="CY21:CY32" si="3">AA21</f>
        <v>38.130000000000003</v>
      </c>
      <c r="CZ21">
        <f t="shared" ref="CZ21:CZ32" si="4">AE21</f>
        <v>6.22</v>
      </c>
      <c r="DA21">
        <f t="shared" ref="DA21:DA32" si="5">AI21</f>
        <v>6.13</v>
      </c>
      <c r="DB21">
        <v>0</v>
      </c>
    </row>
    <row r="22" spans="1:106" x14ac:dyDescent="0.2">
      <c r="A22">
        <f>ROW(Source!A30)</f>
        <v>30</v>
      </c>
      <c r="B22">
        <v>39476960</v>
      </c>
      <c r="C22">
        <v>39477396</v>
      </c>
      <c r="D22">
        <v>36800166</v>
      </c>
      <c r="E22">
        <v>1</v>
      </c>
      <c r="F22">
        <v>1</v>
      </c>
      <c r="G22">
        <v>1</v>
      </c>
      <c r="H22">
        <v>3</v>
      </c>
      <c r="I22" t="s">
        <v>840</v>
      </c>
      <c r="J22" t="s">
        <v>841</v>
      </c>
      <c r="K22" t="s">
        <v>842</v>
      </c>
      <c r="L22">
        <v>1346</v>
      </c>
      <c r="N22">
        <v>1009</v>
      </c>
      <c r="O22" t="s">
        <v>217</v>
      </c>
      <c r="P22" t="s">
        <v>217</v>
      </c>
      <c r="Q22">
        <v>1</v>
      </c>
      <c r="W22">
        <v>0</v>
      </c>
      <c r="X22">
        <v>1721895514</v>
      </c>
      <c r="Y22">
        <v>0</v>
      </c>
      <c r="AA22">
        <v>37.33</v>
      </c>
      <c r="AB22">
        <v>0</v>
      </c>
      <c r="AC22">
        <v>0</v>
      </c>
      <c r="AD22">
        <v>0</v>
      </c>
      <c r="AE22">
        <v>6.09</v>
      </c>
      <c r="AF22">
        <v>0</v>
      </c>
      <c r="AG22">
        <v>0</v>
      </c>
      <c r="AH22">
        <v>0</v>
      </c>
      <c r="AI22">
        <v>6.13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0.41</v>
      </c>
      <c r="AU22" t="s">
        <v>36</v>
      </c>
      <c r="AV22">
        <v>0</v>
      </c>
      <c r="AW22">
        <v>2</v>
      </c>
      <c r="AX22">
        <v>39477407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Y22*Source!I30</f>
        <v>0</v>
      </c>
      <c r="CY22">
        <f t="shared" si="3"/>
        <v>37.33</v>
      </c>
      <c r="CZ22">
        <f t="shared" si="4"/>
        <v>6.09</v>
      </c>
      <c r="DA22">
        <f t="shared" si="5"/>
        <v>6.13</v>
      </c>
      <c r="DB22">
        <v>0</v>
      </c>
    </row>
    <row r="23" spans="1:106" x14ac:dyDescent="0.2">
      <c r="A23">
        <f>ROW(Source!A30)</f>
        <v>30</v>
      </c>
      <c r="B23">
        <v>39476960</v>
      </c>
      <c r="C23">
        <v>39477396</v>
      </c>
      <c r="D23">
        <v>36803259</v>
      </c>
      <c r="E23">
        <v>1</v>
      </c>
      <c r="F23">
        <v>1</v>
      </c>
      <c r="G23">
        <v>1</v>
      </c>
      <c r="H23">
        <v>3</v>
      </c>
      <c r="I23" t="s">
        <v>843</v>
      </c>
      <c r="J23" t="s">
        <v>844</v>
      </c>
      <c r="K23" t="s">
        <v>845</v>
      </c>
      <c r="L23">
        <v>1348</v>
      </c>
      <c r="N23">
        <v>1009</v>
      </c>
      <c r="O23" t="s">
        <v>34</v>
      </c>
      <c r="P23" t="s">
        <v>34</v>
      </c>
      <c r="Q23">
        <v>1000</v>
      </c>
      <c r="W23">
        <v>0</v>
      </c>
      <c r="X23">
        <v>1225357214</v>
      </c>
      <c r="Y23">
        <v>0</v>
      </c>
      <c r="AA23">
        <v>65891.37</v>
      </c>
      <c r="AB23">
        <v>0</v>
      </c>
      <c r="AC23">
        <v>0</v>
      </c>
      <c r="AD23">
        <v>0</v>
      </c>
      <c r="AE23">
        <v>10749</v>
      </c>
      <c r="AF23">
        <v>0</v>
      </c>
      <c r="AG23">
        <v>0</v>
      </c>
      <c r="AH23">
        <v>0</v>
      </c>
      <c r="AI23">
        <v>6.13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4.0000000000000001E-3</v>
      </c>
      <c r="AU23" t="s">
        <v>36</v>
      </c>
      <c r="AV23">
        <v>0</v>
      </c>
      <c r="AW23">
        <v>2</v>
      </c>
      <c r="AX23">
        <v>39477408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0</v>
      </c>
      <c r="CY23">
        <f t="shared" si="3"/>
        <v>65891.37</v>
      </c>
      <c r="CZ23">
        <f t="shared" si="4"/>
        <v>10749</v>
      </c>
      <c r="DA23">
        <f t="shared" si="5"/>
        <v>6.13</v>
      </c>
      <c r="DB23">
        <v>0</v>
      </c>
    </row>
    <row r="24" spans="1:106" x14ac:dyDescent="0.2">
      <c r="A24">
        <f>ROW(Source!A30)</f>
        <v>30</v>
      </c>
      <c r="B24">
        <v>39476960</v>
      </c>
      <c r="C24">
        <v>39477396</v>
      </c>
      <c r="D24">
        <v>36804545</v>
      </c>
      <c r="E24">
        <v>1</v>
      </c>
      <c r="F24">
        <v>1</v>
      </c>
      <c r="G24">
        <v>1</v>
      </c>
      <c r="H24">
        <v>3</v>
      </c>
      <c r="I24" t="s">
        <v>846</v>
      </c>
      <c r="J24" t="s">
        <v>847</v>
      </c>
      <c r="K24" t="s">
        <v>848</v>
      </c>
      <c r="L24">
        <v>1348</v>
      </c>
      <c r="N24">
        <v>1009</v>
      </c>
      <c r="O24" t="s">
        <v>34</v>
      </c>
      <c r="P24" t="s">
        <v>34</v>
      </c>
      <c r="Q24">
        <v>1000</v>
      </c>
      <c r="W24">
        <v>0</v>
      </c>
      <c r="X24">
        <v>1174701286</v>
      </c>
      <c r="Y24">
        <v>0</v>
      </c>
      <c r="AA24">
        <v>73425.14</v>
      </c>
      <c r="AB24">
        <v>0</v>
      </c>
      <c r="AC24">
        <v>0</v>
      </c>
      <c r="AD24">
        <v>0</v>
      </c>
      <c r="AE24">
        <v>11978</v>
      </c>
      <c r="AF24">
        <v>0</v>
      </c>
      <c r="AG24">
        <v>0</v>
      </c>
      <c r="AH24">
        <v>0</v>
      </c>
      <c r="AI24">
        <v>6.13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1.0000000000000001E-5</v>
      </c>
      <c r="AU24" t="s">
        <v>36</v>
      </c>
      <c r="AV24">
        <v>0</v>
      </c>
      <c r="AW24">
        <v>2</v>
      </c>
      <c r="AX24">
        <v>39477410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0</v>
      </c>
      <c r="CY24">
        <f t="shared" si="3"/>
        <v>73425.14</v>
      </c>
      <c r="CZ24">
        <f t="shared" si="4"/>
        <v>11978</v>
      </c>
      <c r="DA24">
        <f t="shared" si="5"/>
        <v>6.13</v>
      </c>
      <c r="DB24">
        <v>0</v>
      </c>
    </row>
    <row r="25" spans="1:106" x14ac:dyDescent="0.2">
      <c r="A25">
        <f>ROW(Source!A30)</f>
        <v>30</v>
      </c>
      <c r="B25">
        <v>39476960</v>
      </c>
      <c r="C25">
        <v>39477396</v>
      </c>
      <c r="D25">
        <v>36805527</v>
      </c>
      <c r="E25">
        <v>1</v>
      </c>
      <c r="F25">
        <v>1</v>
      </c>
      <c r="G25">
        <v>1</v>
      </c>
      <c r="H25">
        <v>3</v>
      </c>
      <c r="I25" t="s">
        <v>849</v>
      </c>
      <c r="J25" t="s">
        <v>850</v>
      </c>
      <c r="K25" t="s">
        <v>851</v>
      </c>
      <c r="L25">
        <v>1348</v>
      </c>
      <c r="N25">
        <v>1009</v>
      </c>
      <c r="O25" t="s">
        <v>34</v>
      </c>
      <c r="P25" t="s">
        <v>34</v>
      </c>
      <c r="Q25">
        <v>1000</v>
      </c>
      <c r="W25">
        <v>0</v>
      </c>
      <c r="X25">
        <v>-2116243625</v>
      </c>
      <c r="Y25">
        <v>0</v>
      </c>
      <c r="AA25">
        <v>232327</v>
      </c>
      <c r="AB25">
        <v>0</v>
      </c>
      <c r="AC25">
        <v>0</v>
      </c>
      <c r="AD25">
        <v>0</v>
      </c>
      <c r="AE25">
        <v>37900</v>
      </c>
      <c r="AF25">
        <v>0</v>
      </c>
      <c r="AG25">
        <v>0</v>
      </c>
      <c r="AH25">
        <v>0</v>
      </c>
      <c r="AI25">
        <v>6.13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1E-4</v>
      </c>
      <c r="AU25" t="s">
        <v>36</v>
      </c>
      <c r="AV25">
        <v>0</v>
      </c>
      <c r="AW25">
        <v>2</v>
      </c>
      <c r="AX25">
        <v>39477411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0</v>
      </c>
      <c r="CY25">
        <f t="shared" si="3"/>
        <v>232327</v>
      </c>
      <c r="CZ25">
        <f t="shared" si="4"/>
        <v>37900</v>
      </c>
      <c r="DA25">
        <f t="shared" si="5"/>
        <v>6.13</v>
      </c>
      <c r="DB25">
        <v>0</v>
      </c>
    </row>
    <row r="26" spans="1:106" x14ac:dyDescent="0.2">
      <c r="A26">
        <f>ROW(Source!A30)</f>
        <v>30</v>
      </c>
      <c r="B26">
        <v>39476960</v>
      </c>
      <c r="C26">
        <v>39477396</v>
      </c>
      <c r="D26">
        <v>36823258</v>
      </c>
      <c r="E26">
        <v>1</v>
      </c>
      <c r="F26">
        <v>1</v>
      </c>
      <c r="G26">
        <v>1</v>
      </c>
      <c r="H26">
        <v>3</v>
      </c>
      <c r="I26" t="s">
        <v>852</v>
      </c>
      <c r="J26" t="s">
        <v>853</v>
      </c>
      <c r="K26" t="s">
        <v>854</v>
      </c>
      <c r="L26">
        <v>1348</v>
      </c>
      <c r="N26">
        <v>1009</v>
      </c>
      <c r="O26" t="s">
        <v>34</v>
      </c>
      <c r="P26" t="s">
        <v>34</v>
      </c>
      <c r="Q26">
        <v>1000</v>
      </c>
      <c r="W26">
        <v>0</v>
      </c>
      <c r="X26">
        <v>299819930</v>
      </c>
      <c r="Y26">
        <v>0</v>
      </c>
      <c r="AA26">
        <v>47274.559999999998</v>
      </c>
      <c r="AB26">
        <v>0</v>
      </c>
      <c r="AC26">
        <v>0</v>
      </c>
      <c r="AD26">
        <v>0</v>
      </c>
      <c r="AE26">
        <v>7712</v>
      </c>
      <c r="AF26">
        <v>0</v>
      </c>
      <c r="AG26">
        <v>0</v>
      </c>
      <c r="AH26">
        <v>0</v>
      </c>
      <c r="AI26">
        <v>6.13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1E-3</v>
      </c>
      <c r="AU26" t="s">
        <v>36</v>
      </c>
      <c r="AV26">
        <v>0</v>
      </c>
      <c r="AW26">
        <v>2</v>
      </c>
      <c r="AX26">
        <v>39477412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0</v>
      </c>
      <c r="CY26">
        <f t="shared" si="3"/>
        <v>47274.559999999998</v>
      </c>
      <c r="CZ26">
        <f t="shared" si="4"/>
        <v>7712</v>
      </c>
      <c r="DA26">
        <f t="shared" si="5"/>
        <v>6.13</v>
      </c>
      <c r="DB26">
        <v>0</v>
      </c>
    </row>
    <row r="27" spans="1:106" x14ac:dyDescent="0.2">
      <c r="A27">
        <f>ROW(Source!A30)</f>
        <v>30</v>
      </c>
      <c r="B27">
        <v>39476960</v>
      </c>
      <c r="C27">
        <v>39477396</v>
      </c>
      <c r="D27">
        <v>36825287</v>
      </c>
      <c r="E27">
        <v>1</v>
      </c>
      <c r="F27">
        <v>1</v>
      </c>
      <c r="G27">
        <v>1</v>
      </c>
      <c r="H27">
        <v>3</v>
      </c>
      <c r="I27" t="s">
        <v>855</v>
      </c>
      <c r="J27" t="s">
        <v>856</v>
      </c>
      <c r="K27" t="s">
        <v>857</v>
      </c>
      <c r="L27">
        <v>1302</v>
      </c>
      <c r="N27">
        <v>1003</v>
      </c>
      <c r="O27" t="s">
        <v>466</v>
      </c>
      <c r="P27" t="s">
        <v>466</v>
      </c>
      <c r="Q27">
        <v>10</v>
      </c>
      <c r="W27">
        <v>0</v>
      </c>
      <c r="X27">
        <v>-1640127157</v>
      </c>
      <c r="Y27">
        <v>0</v>
      </c>
      <c r="AA27">
        <v>307.97000000000003</v>
      </c>
      <c r="AB27">
        <v>0</v>
      </c>
      <c r="AC27">
        <v>0</v>
      </c>
      <c r="AD27">
        <v>0</v>
      </c>
      <c r="AE27">
        <v>50.24</v>
      </c>
      <c r="AF27">
        <v>0</v>
      </c>
      <c r="AG27">
        <v>0</v>
      </c>
      <c r="AH27">
        <v>0</v>
      </c>
      <c r="AI27">
        <v>6.13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1.8700000000000001E-2</v>
      </c>
      <c r="AU27" t="s">
        <v>36</v>
      </c>
      <c r="AV27">
        <v>0</v>
      </c>
      <c r="AW27">
        <v>2</v>
      </c>
      <c r="AX27">
        <v>39477414</v>
      </c>
      <c r="AY27">
        <v>1</v>
      </c>
      <c r="AZ27">
        <v>0</v>
      </c>
      <c r="BA27">
        <v>29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0</v>
      </c>
      <c r="CY27">
        <f t="shared" si="3"/>
        <v>307.97000000000003</v>
      </c>
      <c r="CZ27">
        <f t="shared" si="4"/>
        <v>50.24</v>
      </c>
      <c r="DA27">
        <f t="shared" si="5"/>
        <v>6.13</v>
      </c>
      <c r="DB27">
        <v>0</v>
      </c>
    </row>
    <row r="28" spans="1:106" x14ac:dyDescent="0.2">
      <c r="A28">
        <f>ROW(Source!A30)</f>
        <v>30</v>
      </c>
      <c r="B28">
        <v>39476960</v>
      </c>
      <c r="C28">
        <v>39477396</v>
      </c>
      <c r="D28">
        <v>36825646</v>
      </c>
      <c r="E28">
        <v>1</v>
      </c>
      <c r="F28">
        <v>1</v>
      </c>
      <c r="G28">
        <v>1</v>
      </c>
      <c r="H28">
        <v>3</v>
      </c>
      <c r="I28" t="s">
        <v>858</v>
      </c>
      <c r="J28" t="s">
        <v>859</v>
      </c>
      <c r="K28" t="s">
        <v>860</v>
      </c>
      <c r="L28">
        <v>1348</v>
      </c>
      <c r="N28">
        <v>1009</v>
      </c>
      <c r="O28" t="s">
        <v>34</v>
      </c>
      <c r="P28" t="s">
        <v>34</v>
      </c>
      <c r="Q28">
        <v>1000</v>
      </c>
      <c r="W28">
        <v>0</v>
      </c>
      <c r="X28">
        <v>-1396314973</v>
      </c>
      <c r="Y28">
        <v>0</v>
      </c>
      <c r="AA28">
        <v>27310.38</v>
      </c>
      <c r="AB28">
        <v>0</v>
      </c>
      <c r="AC28">
        <v>0</v>
      </c>
      <c r="AD28">
        <v>0</v>
      </c>
      <c r="AE28">
        <v>4455.2</v>
      </c>
      <c r="AF28">
        <v>0</v>
      </c>
      <c r="AG28">
        <v>0</v>
      </c>
      <c r="AH28">
        <v>0</v>
      </c>
      <c r="AI28">
        <v>6.13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3.0000000000000001E-5</v>
      </c>
      <c r="AU28" t="s">
        <v>36</v>
      </c>
      <c r="AV28">
        <v>0</v>
      </c>
      <c r="AW28">
        <v>2</v>
      </c>
      <c r="AX28">
        <v>39477415</v>
      </c>
      <c r="AY28">
        <v>1</v>
      </c>
      <c r="AZ28">
        <v>0</v>
      </c>
      <c r="BA28">
        <v>30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0</v>
      </c>
      <c r="CY28">
        <f t="shared" si="3"/>
        <v>27310.38</v>
      </c>
      <c r="CZ28">
        <f t="shared" si="4"/>
        <v>4455.2</v>
      </c>
      <c r="DA28">
        <f t="shared" si="5"/>
        <v>6.13</v>
      </c>
      <c r="DB28">
        <v>0</v>
      </c>
    </row>
    <row r="29" spans="1:106" x14ac:dyDescent="0.2">
      <c r="A29">
        <f>ROW(Source!A30)</f>
        <v>30</v>
      </c>
      <c r="B29">
        <v>39476960</v>
      </c>
      <c r="C29">
        <v>39477396</v>
      </c>
      <c r="D29">
        <v>36826406</v>
      </c>
      <c r="E29">
        <v>1</v>
      </c>
      <c r="F29">
        <v>1</v>
      </c>
      <c r="G29">
        <v>1</v>
      </c>
      <c r="H29">
        <v>3</v>
      </c>
      <c r="I29" t="s">
        <v>861</v>
      </c>
      <c r="J29" t="s">
        <v>862</v>
      </c>
      <c r="K29" t="s">
        <v>863</v>
      </c>
      <c r="L29">
        <v>1348</v>
      </c>
      <c r="N29">
        <v>1009</v>
      </c>
      <c r="O29" t="s">
        <v>34</v>
      </c>
      <c r="P29" t="s">
        <v>34</v>
      </c>
      <c r="Q29">
        <v>1000</v>
      </c>
      <c r="W29">
        <v>0</v>
      </c>
      <c r="X29">
        <v>900832145</v>
      </c>
      <c r="Y29">
        <v>0</v>
      </c>
      <c r="AA29">
        <v>30159.599999999999</v>
      </c>
      <c r="AB29">
        <v>0</v>
      </c>
      <c r="AC29">
        <v>0</v>
      </c>
      <c r="AD29">
        <v>0</v>
      </c>
      <c r="AE29">
        <v>4920</v>
      </c>
      <c r="AF29">
        <v>0</v>
      </c>
      <c r="AG29">
        <v>0</v>
      </c>
      <c r="AH29">
        <v>0</v>
      </c>
      <c r="AI29">
        <v>6.13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1.9400000000000001E-3</v>
      </c>
      <c r="AU29" t="s">
        <v>36</v>
      </c>
      <c r="AV29">
        <v>0</v>
      </c>
      <c r="AW29">
        <v>2</v>
      </c>
      <c r="AX29">
        <v>39477416</v>
      </c>
      <c r="AY29">
        <v>1</v>
      </c>
      <c r="AZ29">
        <v>0</v>
      </c>
      <c r="BA29">
        <v>31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0</v>
      </c>
      <c r="CY29">
        <f t="shared" si="3"/>
        <v>30159.599999999999</v>
      </c>
      <c r="CZ29">
        <f t="shared" si="4"/>
        <v>4920</v>
      </c>
      <c r="DA29">
        <f t="shared" si="5"/>
        <v>6.13</v>
      </c>
      <c r="DB29">
        <v>0</v>
      </c>
    </row>
    <row r="30" spans="1:106" x14ac:dyDescent="0.2">
      <c r="A30">
        <f>ROW(Source!A30)</f>
        <v>30</v>
      </c>
      <c r="B30">
        <v>39476960</v>
      </c>
      <c r="C30">
        <v>39477396</v>
      </c>
      <c r="D30">
        <v>36830313</v>
      </c>
      <c r="E30">
        <v>1</v>
      </c>
      <c r="F30">
        <v>1</v>
      </c>
      <c r="G30">
        <v>1</v>
      </c>
      <c r="H30">
        <v>3</v>
      </c>
      <c r="I30" t="s">
        <v>864</v>
      </c>
      <c r="J30" t="s">
        <v>865</v>
      </c>
      <c r="K30" t="s">
        <v>866</v>
      </c>
      <c r="L30">
        <v>1339</v>
      </c>
      <c r="N30">
        <v>1007</v>
      </c>
      <c r="O30" t="s">
        <v>25</v>
      </c>
      <c r="P30" t="s">
        <v>25</v>
      </c>
      <c r="Q30">
        <v>1</v>
      </c>
      <c r="W30">
        <v>0</v>
      </c>
      <c r="X30">
        <v>1283004816</v>
      </c>
      <c r="Y30">
        <v>0</v>
      </c>
      <c r="AA30">
        <v>10421</v>
      </c>
      <c r="AB30">
        <v>0</v>
      </c>
      <c r="AC30">
        <v>0</v>
      </c>
      <c r="AD30">
        <v>0</v>
      </c>
      <c r="AE30">
        <v>1700</v>
      </c>
      <c r="AF30">
        <v>0</v>
      </c>
      <c r="AG30">
        <v>0</v>
      </c>
      <c r="AH30">
        <v>0</v>
      </c>
      <c r="AI30">
        <v>6.13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1.0300000000000001E-3</v>
      </c>
      <c r="AU30" t="s">
        <v>36</v>
      </c>
      <c r="AV30">
        <v>0</v>
      </c>
      <c r="AW30">
        <v>2</v>
      </c>
      <c r="AX30">
        <v>39477417</v>
      </c>
      <c r="AY30">
        <v>1</v>
      </c>
      <c r="AZ30">
        <v>0</v>
      </c>
      <c r="BA30">
        <v>32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0</v>
      </c>
      <c r="CY30">
        <f t="shared" si="3"/>
        <v>10421</v>
      </c>
      <c r="CZ30">
        <f t="shared" si="4"/>
        <v>1700</v>
      </c>
      <c r="DA30">
        <f t="shared" si="5"/>
        <v>6.13</v>
      </c>
      <c r="DB30">
        <v>0</v>
      </c>
    </row>
    <row r="31" spans="1:106" x14ac:dyDescent="0.2">
      <c r="A31">
        <f>ROW(Source!A30)</f>
        <v>30</v>
      </c>
      <c r="B31">
        <v>39476960</v>
      </c>
      <c r="C31">
        <v>39477396</v>
      </c>
      <c r="D31">
        <v>36837948</v>
      </c>
      <c r="E31">
        <v>1</v>
      </c>
      <c r="F31">
        <v>1</v>
      </c>
      <c r="G31">
        <v>1</v>
      </c>
      <c r="H31">
        <v>3</v>
      </c>
      <c r="I31" t="s">
        <v>867</v>
      </c>
      <c r="J31" t="s">
        <v>868</v>
      </c>
      <c r="K31" t="s">
        <v>869</v>
      </c>
      <c r="L31">
        <v>1348</v>
      </c>
      <c r="N31">
        <v>1009</v>
      </c>
      <c r="O31" t="s">
        <v>34</v>
      </c>
      <c r="P31" t="s">
        <v>34</v>
      </c>
      <c r="Q31">
        <v>1000</v>
      </c>
      <c r="W31">
        <v>0</v>
      </c>
      <c r="X31">
        <v>-1655298345</v>
      </c>
      <c r="Y31">
        <v>0</v>
      </c>
      <c r="AA31">
        <v>95750.6</v>
      </c>
      <c r="AB31">
        <v>0</v>
      </c>
      <c r="AC31">
        <v>0</v>
      </c>
      <c r="AD31">
        <v>0</v>
      </c>
      <c r="AE31">
        <v>15620</v>
      </c>
      <c r="AF31">
        <v>0</v>
      </c>
      <c r="AG31">
        <v>0</v>
      </c>
      <c r="AH31">
        <v>0</v>
      </c>
      <c r="AI31">
        <v>6.13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3.1E-4</v>
      </c>
      <c r="AU31" t="s">
        <v>36</v>
      </c>
      <c r="AV31">
        <v>0</v>
      </c>
      <c r="AW31">
        <v>2</v>
      </c>
      <c r="AX31">
        <v>39477418</v>
      </c>
      <c r="AY31">
        <v>1</v>
      </c>
      <c r="AZ31">
        <v>0</v>
      </c>
      <c r="BA31">
        <v>33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0</v>
      </c>
      <c r="CY31">
        <f t="shared" si="3"/>
        <v>95750.6</v>
      </c>
      <c r="CZ31">
        <f t="shared" si="4"/>
        <v>15620</v>
      </c>
      <c r="DA31">
        <f t="shared" si="5"/>
        <v>6.13</v>
      </c>
      <c r="DB31">
        <v>0</v>
      </c>
    </row>
    <row r="32" spans="1:106" x14ac:dyDescent="0.2">
      <c r="A32">
        <f>ROW(Source!A30)</f>
        <v>30</v>
      </c>
      <c r="B32">
        <v>39476960</v>
      </c>
      <c r="C32">
        <v>39477396</v>
      </c>
      <c r="D32">
        <v>36839146</v>
      </c>
      <c r="E32">
        <v>1</v>
      </c>
      <c r="F32">
        <v>1</v>
      </c>
      <c r="G32">
        <v>1</v>
      </c>
      <c r="H32">
        <v>3</v>
      </c>
      <c r="I32" t="s">
        <v>870</v>
      </c>
      <c r="J32" t="s">
        <v>871</v>
      </c>
      <c r="K32" t="s">
        <v>872</v>
      </c>
      <c r="L32">
        <v>1348</v>
      </c>
      <c r="N32">
        <v>1009</v>
      </c>
      <c r="O32" t="s">
        <v>34</v>
      </c>
      <c r="P32" t="s">
        <v>34</v>
      </c>
      <c r="Q32">
        <v>1000</v>
      </c>
      <c r="W32">
        <v>0</v>
      </c>
      <c r="X32">
        <v>-639604785</v>
      </c>
      <c r="Y32">
        <v>0</v>
      </c>
      <c r="AA32">
        <v>57744.6</v>
      </c>
      <c r="AB32">
        <v>0</v>
      </c>
      <c r="AC32">
        <v>0</v>
      </c>
      <c r="AD32">
        <v>0</v>
      </c>
      <c r="AE32">
        <v>9420</v>
      </c>
      <c r="AF32">
        <v>0</v>
      </c>
      <c r="AG32">
        <v>0</v>
      </c>
      <c r="AH32">
        <v>0</v>
      </c>
      <c r="AI32">
        <v>6.13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5.9999999999999995E-4</v>
      </c>
      <c r="AU32" t="s">
        <v>36</v>
      </c>
      <c r="AV32">
        <v>0</v>
      </c>
      <c r="AW32">
        <v>2</v>
      </c>
      <c r="AX32">
        <v>39477419</v>
      </c>
      <c r="AY32">
        <v>1</v>
      </c>
      <c r="AZ32">
        <v>0</v>
      </c>
      <c r="BA32">
        <v>34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0</v>
      </c>
      <c r="CY32">
        <f t="shared" si="3"/>
        <v>57744.6</v>
      </c>
      <c r="CZ32">
        <f t="shared" si="4"/>
        <v>9420</v>
      </c>
      <c r="DA32">
        <f t="shared" si="5"/>
        <v>6.13</v>
      </c>
      <c r="DB32">
        <v>0</v>
      </c>
    </row>
    <row r="33" spans="1:106" x14ac:dyDescent="0.2">
      <c r="A33">
        <f>ROW(Source!A31)</f>
        <v>31</v>
      </c>
      <c r="B33">
        <v>39476960</v>
      </c>
      <c r="C33">
        <v>39477426</v>
      </c>
      <c r="D33">
        <v>37068148</v>
      </c>
      <c r="E33">
        <v>1</v>
      </c>
      <c r="F33">
        <v>1</v>
      </c>
      <c r="G33">
        <v>1</v>
      </c>
      <c r="H33">
        <v>1</v>
      </c>
      <c r="I33" t="s">
        <v>873</v>
      </c>
      <c r="J33" t="s">
        <v>3</v>
      </c>
      <c r="K33" t="s">
        <v>874</v>
      </c>
      <c r="L33">
        <v>1191</v>
      </c>
      <c r="N33">
        <v>1013</v>
      </c>
      <c r="O33" t="s">
        <v>796</v>
      </c>
      <c r="P33" t="s">
        <v>796</v>
      </c>
      <c r="Q33">
        <v>1</v>
      </c>
      <c r="W33">
        <v>0</v>
      </c>
      <c r="X33">
        <v>371339561</v>
      </c>
      <c r="Y33">
        <v>172.76</v>
      </c>
      <c r="AA33">
        <v>0</v>
      </c>
      <c r="AB33">
        <v>0</v>
      </c>
      <c r="AC33">
        <v>0</v>
      </c>
      <c r="AD33">
        <v>49.59</v>
      </c>
      <c r="AE33">
        <v>0</v>
      </c>
      <c r="AF33">
        <v>0</v>
      </c>
      <c r="AG33">
        <v>0</v>
      </c>
      <c r="AH33">
        <v>8.09</v>
      </c>
      <c r="AI33">
        <v>1</v>
      </c>
      <c r="AJ33">
        <v>1</v>
      </c>
      <c r="AK33">
        <v>1</v>
      </c>
      <c r="AL33">
        <v>6.13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172.76</v>
      </c>
      <c r="AU33" t="s">
        <v>3</v>
      </c>
      <c r="AV33">
        <v>1</v>
      </c>
      <c r="AW33">
        <v>2</v>
      </c>
      <c r="AX33">
        <v>39477427</v>
      </c>
      <c r="AY33">
        <v>1</v>
      </c>
      <c r="AZ33">
        <v>0</v>
      </c>
      <c r="BA33">
        <v>35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1.710324</v>
      </c>
      <c r="CY33">
        <f>AD33</f>
        <v>49.59</v>
      </c>
      <c r="CZ33">
        <f>AH33</f>
        <v>8.09</v>
      </c>
      <c r="DA33">
        <f>AL33</f>
        <v>6.13</v>
      </c>
      <c r="DB33">
        <v>0</v>
      </c>
    </row>
    <row r="34" spans="1:106" x14ac:dyDescent="0.2">
      <c r="A34">
        <f>ROW(Source!A31)</f>
        <v>31</v>
      </c>
      <c r="B34">
        <v>39476960</v>
      </c>
      <c r="C34">
        <v>39477426</v>
      </c>
      <c r="D34">
        <v>37064876</v>
      </c>
      <c r="E34">
        <v>1</v>
      </c>
      <c r="F34">
        <v>1</v>
      </c>
      <c r="G34">
        <v>1</v>
      </c>
      <c r="H34">
        <v>1</v>
      </c>
      <c r="I34" t="s">
        <v>797</v>
      </c>
      <c r="J34" t="s">
        <v>3</v>
      </c>
      <c r="K34" t="s">
        <v>798</v>
      </c>
      <c r="L34">
        <v>1191</v>
      </c>
      <c r="N34">
        <v>1013</v>
      </c>
      <c r="O34" t="s">
        <v>796</v>
      </c>
      <c r="P34" t="s">
        <v>796</v>
      </c>
      <c r="Q34">
        <v>1</v>
      </c>
      <c r="W34">
        <v>0</v>
      </c>
      <c r="X34">
        <v>-1417349443</v>
      </c>
      <c r="Y34">
        <v>7.74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6.13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7.74</v>
      </c>
      <c r="AU34" t="s">
        <v>3</v>
      </c>
      <c r="AV34">
        <v>2</v>
      </c>
      <c r="AW34">
        <v>2</v>
      </c>
      <c r="AX34">
        <v>39477428</v>
      </c>
      <c r="AY34">
        <v>1</v>
      </c>
      <c r="AZ34">
        <v>0</v>
      </c>
      <c r="BA34">
        <v>36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7.6626000000000014E-2</v>
      </c>
      <c r="CY34">
        <f>AD34</f>
        <v>0</v>
      </c>
      <c r="CZ34">
        <f>AH34</f>
        <v>0</v>
      </c>
      <c r="DA34">
        <f>AL34</f>
        <v>1</v>
      </c>
      <c r="DB34">
        <v>0</v>
      </c>
    </row>
    <row r="35" spans="1:106" x14ac:dyDescent="0.2">
      <c r="A35">
        <f>ROW(Source!A31)</f>
        <v>31</v>
      </c>
      <c r="B35">
        <v>39476960</v>
      </c>
      <c r="C35">
        <v>39477426</v>
      </c>
      <c r="D35">
        <v>36882452</v>
      </c>
      <c r="E35">
        <v>1</v>
      </c>
      <c r="F35">
        <v>1</v>
      </c>
      <c r="G35">
        <v>1</v>
      </c>
      <c r="H35">
        <v>2</v>
      </c>
      <c r="I35" t="s">
        <v>799</v>
      </c>
      <c r="J35" t="s">
        <v>800</v>
      </c>
      <c r="K35" t="s">
        <v>801</v>
      </c>
      <c r="L35">
        <v>1368</v>
      </c>
      <c r="N35">
        <v>1011</v>
      </c>
      <c r="O35" t="s">
        <v>802</v>
      </c>
      <c r="P35" t="s">
        <v>802</v>
      </c>
      <c r="Q35">
        <v>1</v>
      </c>
      <c r="W35">
        <v>0</v>
      </c>
      <c r="X35">
        <v>1188625873</v>
      </c>
      <c r="Y35">
        <v>7.74</v>
      </c>
      <c r="AA35">
        <v>0</v>
      </c>
      <c r="AB35">
        <v>191.62</v>
      </c>
      <c r="AC35">
        <v>13.5</v>
      </c>
      <c r="AD35">
        <v>0</v>
      </c>
      <c r="AE35">
        <v>0</v>
      </c>
      <c r="AF35">
        <v>31.26</v>
      </c>
      <c r="AG35">
        <v>13.5</v>
      </c>
      <c r="AH35">
        <v>0</v>
      </c>
      <c r="AI35">
        <v>1</v>
      </c>
      <c r="AJ35">
        <v>6.13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7.74</v>
      </c>
      <c r="AU35" t="s">
        <v>3</v>
      </c>
      <c r="AV35">
        <v>0</v>
      </c>
      <c r="AW35">
        <v>2</v>
      </c>
      <c r="AX35">
        <v>39477429</v>
      </c>
      <c r="AY35">
        <v>1</v>
      </c>
      <c r="AZ35">
        <v>0</v>
      </c>
      <c r="BA35">
        <v>37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Y35*Source!I31</f>
        <v>7.6626000000000014E-2</v>
      </c>
      <c r="CY35">
        <f>AB35</f>
        <v>191.62</v>
      </c>
      <c r="CZ35">
        <f>AF35</f>
        <v>31.26</v>
      </c>
      <c r="DA35">
        <f>AJ35</f>
        <v>6.13</v>
      </c>
      <c r="DB35">
        <v>0</v>
      </c>
    </row>
    <row r="36" spans="1:106" x14ac:dyDescent="0.2">
      <c r="A36">
        <f>ROW(Source!A32)</f>
        <v>32</v>
      </c>
      <c r="B36">
        <v>39476960</v>
      </c>
      <c r="C36">
        <v>39477430</v>
      </c>
      <c r="D36">
        <v>37068148</v>
      </c>
      <c r="E36">
        <v>1</v>
      </c>
      <c r="F36">
        <v>1</v>
      </c>
      <c r="G36">
        <v>1</v>
      </c>
      <c r="H36">
        <v>1</v>
      </c>
      <c r="I36" t="s">
        <v>873</v>
      </c>
      <c r="J36" t="s">
        <v>3</v>
      </c>
      <c r="K36" t="s">
        <v>874</v>
      </c>
      <c r="L36">
        <v>1191</v>
      </c>
      <c r="N36">
        <v>1013</v>
      </c>
      <c r="O36" t="s">
        <v>796</v>
      </c>
      <c r="P36" t="s">
        <v>796</v>
      </c>
      <c r="Q36">
        <v>1</v>
      </c>
      <c r="W36">
        <v>0</v>
      </c>
      <c r="X36">
        <v>371339561</v>
      </c>
      <c r="Y36">
        <v>103.91</v>
      </c>
      <c r="AA36">
        <v>0</v>
      </c>
      <c r="AB36">
        <v>0</v>
      </c>
      <c r="AC36">
        <v>0</v>
      </c>
      <c r="AD36">
        <v>49.59</v>
      </c>
      <c r="AE36">
        <v>0</v>
      </c>
      <c r="AF36">
        <v>0</v>
      </c>
      <c r="AG36">
        <v>0</v>
      </c>
      <c r="AH36">
        <v>8.09</v>
      </c>
      <c r="AI36">
        <v>1</v>
      </c>
      <c r="AJ36">
        <v>1</v>
      </c>
      <c r="AK36">
        <v>1</v>
      </c>
      <c r="AL36">
        <v>6.13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103.91</v>
      </c>
      <c r="AU36" t="s">
        <v>3</v>
      </c>
      <c r="AV36">
        <v>1</v>
      </c>
      <c r="AW36">
        <v>2</v>
      </c>
      <c r="AX36">
        <v>39477431</v>
      </c>
      <c r="AY36">
        <v>1</v>
      </c>
      <c r="AZ36">
        <v>0</v>
      </c>
      <c r="BA36">
        <v>38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16.625599999999999</v>
      </c>
      <c r="CY36">
        <f>AD36</f>
        <v>49.59</v>
      </c>
      <c r="CZ36">
        <f>AH36</f>
        <v>8.09</v>
      </c>
      <c r="DA36">
        <f>AL36</f>
        <v>6.13</v>
      </c>
      <c r="DB36">
        <v>0</v>
      </c>
    </row>
    <row r="37" spans="1:106" x14ac:dyDescent="0.2">
      <c r="A37">
        <f>ROW(Source!A32)</f>
        <v>32</v>
      </c>
      <c r="B37">
        <v>39476960</v>
      </c>
      <c r="C37">
        <v>39477430</v>
      </c>
      <c r="D37">
        <v>37064876</v>
      </c>
      <c r="E37">
        <v>1</v>
      </c>
      <c r="F37">
        <v>1</v>
      </c>
      <c r="G37">
        <v>1</v>
      </c>
      <c r="H37">
        <v>1</v>
      </c>
      <c r="I37" t="s">
        <v>797</v>
      </c>
      <c r="J37" t="s">
        <v>3</v>
      </c>
      <c r="K37" t="s">
        <v>798</v>
      </c>
      <c r="L37">
        <v>1191</v>
      </c>
      <c r="N37">
        <v>1013</v>
      </c>
      <c r="O37" t="s">
        <v>796</v>
      </c>
      <c r="P37" t="s">
        <v>796</v>
      </c>
      <c r="Q37">
        <v>1</v>
      </c>
      <c r="W37">
        <v>0</v>
      </c>
      <c r="X37">
        <v>-1417349443</v>
      </c>
      <c r="Y37">
        <v>7.74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6.13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7.74</v>
      </c>
      <c r="AU37" t="s">
        <v>3</v>
      </c>
      <c r="AV37">
        <v>2</v>
      </c>
      <c r="AW37">
        <v>2</v>
      </c>
      <c r="AX37">
        <v>39477432</v>
      </c>
      <c r="AY37">
        <v>1</v>
      </c>
      <c r="AZ37">
        <v>0</v>
      </c>
      <c r="BA37">
        <v>39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1.2384000000000002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ROW(Source!A32)</f>
        <v>32</v>
      </c>
      <c r="B38">
        <v>39476960</v>
      </c>
      <c r="C38">
        <v>39477430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799</v>
      </c>
      <c r="J38" t="s">
        <v>800</v>
      </c>
      <c r="K38" t="s">
        <v>801</v>
      </c>
      <c r="L38">
        <v>1368</v>
      </c>
      <c r="N38">
        <v>1011</v>
      </c>
      <c r="O38" t="s">
        <v>802</v>
      </c>
      <c r="P38" t="s">
        <v>802</v>
      </c>
      <c r="Q38">
        <v>1</v>
      </c>
      <c r="W38">
        <v>0</v>
      </c>
      <c r="X38">
        <v>1188625873</v>
      </c>
      <c r="Y38">
        <v>7.74</v>
      </c>
      <c r="AA38">
        <v>0</v>
      </c>
      <c r="AB38">
        <v>191.62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6.13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7.74</v>
      </c>
      <c r="AU38" t="s">
        <v>3</v>
      </c>
      <c r="AV38">
        <v>0</v>
      </c>
      <c r="AW38">
        <v>2</v>
      </c>
      <c r="AX38">
        <v>39477433</v>
      </c>
      <c r="AY38">
        <v>1</v>
      </c>
      <c r="AZ38">
        <v>0</v>
      </c>
      <c r="BA38">
        <v>40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Y38*Source!I32</f>
        <v>1.2384000000000002</v>
      </c>
      <c r="CY38">
        <f>AB38</f>
        <v>191.62</v>
      </c>
      <c r="CZ38">
        <f>AF38</f>
        <v>31.26</v>
      </c>
      <c r="DA38">
        <f>AJ38</f>
        <v>6.13</v>
      </c>
      <c r="DB38">
        <v>0</v>
      </c>
    </row>
    <row r="39" spans="1:106" x14ac:dyDescent="0.2">
      <c r="A39">
        <f>ROW(Source!A33)</f>
        <v>33</v>
      </c>
      <c r="B39">
        <v>39476960</v>
      </c>
      <c r="C39">
        <v>39477434</v>
      </c>
      <c r="D39">
        <v>37070495</v>
      </c>
      <c r="E39">
        <v>1</v>
      </c>
      <c r="F39">
        <v>1</v>
      </c>
      <c r="G39">
        <v>1</v>
      </c>
      <c r="H39">
        <v>1</v>
      </c>
      <c r="I39" t="s">
        <v>875</v>
      </c>
      <c r="J39" t="s">
        <v>3</v>
      </c>
      <c r="K39" t="s">
        <v>876</v>
      </c>
      <c r="L39">
        <v>1191</v>
      </c>
      <c r="N39">
        <v>1013</v>
      </c>
      <c r="O39" t="s">
        <v>796</v>
      </c>
      <c r="P39" t="s">
        <v>796</v>
      </c>
      <c r="Q39">
        <v>1</v>
      </c>
      <c r="W39">
        <v>0</v>
      </c>
      <c r="X39">
        <v>-784637506</v>
      </c>
      <c r="Y39">
        <v>258.81900000000002</v>
      </c>
      <c r="AA39">
        <v>0</v>
      </c>
      <c r="AB39">
        <v>0</v>
      </c>
      <c r="AC39">
        <v>0</v>
      </c>
      <c r="AD39">
        <v>53.58</v>
      </c>
      <c r="AE39">
        <v>0</v>
      </c>
      <c r="AF39">
        <v>0</v>
      </c>
      <c r="AG39">
        <v>0</v>
      </c>
      <c r="AH39">
        <v>8.74</v>
      </c>
      <c r="AI39">
        <v>1</v>
      </c>
      <c r="AJ39">
        <v>1</v>
      </c>
      <c r="AK39">
        <v>1</v>
      </c>
      <c r="AL39">
        <v>6.13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187.55</v>
      </c>
      <c r="AU39" t="s">
        <v>54</v>
      </c>
      <c r="AV39">
        <v>1</v>
      </c>
      <c r="AW39">
        <v>2</v>
      </c>
      <c r="AX39">
        <v>39477435</v>
      </c>
      <c r="AY39">
        <v>1</v>
      </c>
      <c r="AZ39">
        <v>0</v>
      </c>
      <c r="BA39">
        <v>41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2.5623081000000005</v>
      </c>
      <c r="CY39">
        <f>AD39</f>
        <v>53.58</v>
      </c>
      <c r="CZ39">
        <f>AH39</f>
        <v>8.74</v>
      </c>
      <c r="DA39">
        <f>AL39</f>
        <v>6.13</v>
      </c>
      <c r="DB39">
        <v>0</v>
      </c>
    </row>
    <row r="40" spans="1:106" x14ac:dyDescent="0.2">
      <c r="A40">
        <f>ROW(Source!A33)</f>
        <v>33</v>
      </c>
      <c r="B40">
        <v>39476960</v>
      </c>
      <c r="C40">
        <v>39477434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797</v>
      </c>
      <c r="J40" t="s">
        <v>3</v>
      </c>
      <c r="K40" t="s">
        <v>798</v>
      </c>
      <c r="L40">
        <v>1191</v>
      </c>
      <c r="N40">
        <v>1013</v>
      </c>
      <c r="O40" t="s">
        <v>796</v>
      </c>
      <c r="P40" t="s">
        <v>796</v>
      </c>
      <c r="Q40">
        <v>1</v>
      </c>
      <c r="W40">
        <v>0</v>
      </c>
      <c r="X40">
        <v>-1417349443</v>
      </c>
      <c r="Y40">
        <v>5.33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6.13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5.33</v>
      </c>
      <c r="AU40" t="s">
        <v>3</v>
      </c>
      <c r="AV40">
        <v>2</v>
      </c>
      <c r="AW40">
        <v>2</v>
      </c>
      <c r="AX40">
        <v>39477436</v>
      </c>
      <c r="AY40">
        <v>1</v>
      </c>
      <c r="AZ40">
        <v>2048</v>
      </c>
      <c r="BA40">
        <v>42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5.2767000000000008E-2</v>
      </c>
      <c r="CY40">
        <f>AD40</f>
        <v>0</v>
      </c>
      <c r="CZ40">
        <f>AH40</f>
        <v>0</v>
      </c>
      <c r="DA40">
        <f>AL40</f>
        <v>1</v>
      </c>
      <c r="DB40">
        <v>0</v>
      </c>
    </row>
    <row r="41" spans="1:106" x14ac:dyDescent="0.2">
      <c r="A41">
        <f>ROW(Source!A33)</f>
        <v>33</v>
      </c>
      <c r="B41">
        <v>39476960</v>
      </c>
      <c r="C41">
        <v>39477434</v>
      </c>
      <c r="D41">
        <v>36882452</v>
      </c>
      <c r="E41">
        <v>1</v>
      </c>
      <c r="F41">
        <v>1</v>
      </c>
      <c r="G41">
        <v>1</v>
      </c>
      <c r="H41">
        <v>2</v>
      </c>
      <c r="I41" t="s">
        <v>799</v>
      </c>
      <c r="J41" t="s">
        <v>800</v>
      </c>
      <c r="K41" t="s">
        <v>801</v>
      </c>
      <c r="L41">
        <v>1368</v>
      </c>
      <c r="N41">
        <v>1011</v>
      </c>
      <c r="O41" t="s">
        <v>802</v>
      </c>
      <c r="P41" t="s">
        <v>802</v>
      </c>
      <c r="Q41">
        <v>1</v>
      </c>
      <c r="W41">
        <v>0</v>
      </c>
      <c r="X41">
        <v>1188625873</v>
      </c>
      <c r="Y41">
        <v>2.64</v>
      </c>
      <c r="AA41">
        <v>0</v>
      </c>
      <c r="AB41">
        <v>191.62</v>
      </c>
      <c r="AC41">
        <v>13.5</v>
      </c>
      <c r="AD41">
        <v>0</v>
      </c>
      <c r="AE41">
        <v>0</v>
      </c>
      <c r="AF41">
        <v>31.26</v>
      </c>
      <c r="AG41">
        <v>13.5</v>
      </c>
      <c r="AH41">
        <v>0</v>
      </c>
      <c r="AI41">
        <v>1</v>
      </c>
      <c r="AJ41">
        <v>6.13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1.76</v>
      </c>
      <c r="AU41" t="s">
        <v>53</v>
      </c>
      <c r="AV41">
        <v>0</v>
      </c>
      <c r="AW41">
        <v>2</v>
      </c>
      <c r="AX41">
        <v>39477437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2.6136000000000003E-2</v>
      </c>
      <c r="CY41">
        <f>AB41</f>
        <v>191.62</v>
      </c>
      <c r="CZ41">
        <f>AF41</f>
        <v>31.26</v>
      </c>
      <c r="DA41">
        <f>AJ41</f>
        <v>6.13</v>
      </c>
      <c r="DB41">
        <v>0</v>
      </c>
    </row>
    <row r="42" spans="1:106" x14ac:dyDescent="0.2">
      <c r="A42">
        <f>ROW(Source!A33)</f>
        <v>33</v>
      </c>
      <c r="B42">
        <v>39476960</v>
      </c>
      <c r="C42">
        <v>39477434</v>
      </c>
      <c r="D42">
        <v>36883554</v>
      </c>
      <c r="E42">
        <v>1</v>
      </c>
      <c r="F42">
        <v>1</v>
      </c>
      <c r="G42">
        <v>1</v>
      </c>
      <c r="H42">
        <v>2</v>
      </c>
      <c r="I42" t="s">
        <v>834</v>
      </c>
      <c r="J42" t="s">
        <v>835</v>
      </c>
      <c r="K42" t="s">
        <v>836</v>
      </c>
      <c r="L42">
        <v>1368</v>
      </c>
      <c r="N42">
        <v>1011</v>
      </c>
      <c r="O42" t="s">
        <v>802</v>
      </c>
      <c r="P42" t="s">
        <v>802</v>
      </c>
      <c r="Q42">
        <v>1</v>
      </c>
      <c r="W42">
        <v>0</v>
      </c>
      <c r="X42">
        <v>1372534845</v>
      </c>
      <c r="Y42">
        <v>5.3549999999999995</v>
      </c>
      <c r="AA42">
        <v>0</v>
      </c>
      <c r="AB42">
        <v>402.8</v>
      </c>
      <c r="AC42">
        <v>11.6</v>
      </c>
      <c r="AD42">
        <v>0</v>
      </c>
      <c r="AE42">
        <v>0</v>
      </c>
      <c r="AF42">
        <v>65.709999999999994</v>
      </c>
      <c r="AG42">
        <v>11.6</v>
      </c>
      <c r="AH42">
        <v>0</v>
      </c>
      <c r="AI42">
        <v>1</v>
      </c>
      <c r="AJ42">
        <v>6.13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3.57</v>
      </c>
      <c r="AU42" t="s">
        <v>53</v>
      </c>
      <c r="AV42">
        <v>0</v>
      </c>
      <c r="AW42">
        <v>2</v>
      </c>
      <c r="AX42">
        <v>39477438</v>
      </c>
      <c r="AY42">
        <v>1</v>
      </c>
      <c r="AZ42">
        <v>0</v>
      </c>
      <c r="BA42">
        <v>44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5.3014499999999999E-2</v>
      </c>
      <c r="CY42">
        <f>AB42</f>
        <v>402.8</v>
      </c>
      <c r="CZ42">
        <f>AF42</f>
        <v>65.709999999999994</v>
      </c>
      <c r="DA42">
        <f>AJ42</f>
        <v>6.13</v>
      </c>
      <c r="DB42">
        <v>0</v>
      </c>
    </row>
    <row r="43" spans="1:106" x14ac:dyDescent="0.2">
      <c r="A43">
        <f>ROW(Source!A33)</f>
        <v>33</v>
      </c>
      <c r="B43">
        <v>39476960</v>
      </c>
      <c r="C43">
        <v>39477434</v>
      </c>
      <c r="D43">
        <v>36802057</v>
      </c>
      <c r="E43">
        <v>1</v>
      </c>
      <c r="F43">
        <v>1</v>
      </c>
      <c r="G43">
        <v>1</v>
      </c>
      <c r="H43">
        <v>3</v>
      </c>
      <c r="I43" t="s">
        <v>877</v>
      </c>
      <c r="J43" t="s">
        <v>878</v>
      </c>
      <c r="K43" t="s">
        <v>879</v>
      </c>
      <c r="L43">
        <v>1301</v>
      </c>
      <c r="N43">
        <v>1003</v>
      </c>
      <c r="O43" t="s">
        <v>74</v>
      </c>
      <c r="P43" t="s">
        <v>74</v>
      </c>
      <c r="Q43">
        <v>1</v>
      </c>
      <c r="W43">
        <v>0</v>
      </c>
      <c r="X43">
        <v>751777312</v>
      </c>
      <c r="Y43">
        <v>347</v>
      </c>
      <c r="AA43">
        <v>39.11</v>
      </c>
      <c r="AB43">
        <v>0</v>
      </c>
      <c r="AC43">
        <v>0</v>
      </c>
      <c r="AD43">
        <v>0</v>
      </c>
      <c r="AE43">
        <v>6.38</v>
      </c>
      <c r="AF43">
        <v>0</v>
      </c>
      <c r="AG43">
        <v>0</v>
      </c>
      <c r="AH43">
        <v>0</v>
      </c>
      <c r="AI43">
        <v>6.13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347</v>
      </c>
      <c r="AU43" t="s">
        <v>3</v>
      </c>
      <c r="AV43">
        <v>0</v>
      </c>
      <c r="AW43">
        <v>2</v>
      </c>
      <c r="AX43">
        <v>39477439</v>
      </c>
      <c r="AY43">
        <v>1</v>
      </c>
      <c r="AZ43">
        <v>0</v>
      </c>
      <c r="BA43">
        <v>45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3.4353000000000002</v>
      </c>
      <c r="CY43">
        <f t="shared" ref="CY43:CY50" si="6">AA43</f>
        <v>39.11</v>
      </c>
      <c r="CZ43">
        <f t="shared" ref="CZ43:CZ50" si="7">AE43</f>
        <v>6.38</v>
      </c>
      <c r="DA43">
        <f t="shared" ref="DA43:DA50" si="8">AI43</f>
        <v>6.13</v>
      </c>
      <c r="DB43">
        <v>0</v>
      </c>
    </row>
    <row r="44" spans="1:106" x14ac:dyDescent="0.2">
      <c r="A44">
        <f>ROW(Source!A33)</f>
        <v>33</v>
      </c>
      <c r="B44">
        <v>39476960</v>
      </c>
      <c r="C44">
        <v>39477434</v>
      </c>
      <c r="D44">
        <v>36802058</v>
      </c>
      <c r="E44">
        <v>1</v>
      </c>
      <c r="F44">
        <v>1</v>
      </c>
      <c r="G44">
        <v>1</v>
      </c>
      <c r="H44">
        <v>3</v>
      </c>
      <c r="I44" t="s">
        <v>880</v>
      </c>
      <c r="J44" t="s">
        <v>881</v>
      </c>
      <c r="K44" t="s">
        <v>882</v>
      </c>
      <c r="L44">
        <v>1301</v>
      </c>
      <c r="N44">
        <v>1003</v>
      </c>
      <c r="O44" t="s">
        <v>74</v>
      </c>
      <c r="P44" t="s">
        <v>74</v>
      </c>
      <c r="Q44">
        <v>1</v>
      </c>
      <c r="W44">
        <v>0</v>
      </c>
      <c r="X44">
        <v>1744203244</v>
      </c>
      <c r="Y44">
        <v>71</v>
      </c>
      <c r="AA44">
        <v>48.73</v>
      </c>
      <c r="AB44">
        <v>0</v>
      </c>
      <c r="AC44">
        <v>0</v>
      </c>
      <c r="AD44">
        <v>0</v>
      </c>
      <c r="AE44">
        <v>7.95</v>
      </c>
      <c r="AF44">
        <v>0</v>
      </c>
      <c r="AG44">
        <v>0</v>
      </c>
      <c r="AH44">
        <v>0</v>
      </c>
      <c r="AI44">
        <v>6.13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71</v>
      </c>
      <c r="AU44" t="s">
        <v>3</v>
      </c>
      <c r="AV44">
        <v>0</v>
      </c>
      <c r="AW44">
        <v>2</v>
      </c>
      <c r="AX44">
        <v>39477440</v>
      </c>
      <c r="AY44">
        <v>1</v>
      </c>
      <c r="AZ44">
        <v>0</v>
      </c>
      <c r="BA44">
        <v>46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0.70290000000000008</v>
      </c>
      <c r="CY44">
        <f t="shared" si="6"/>
        <v>48.73</v>
      </c>
      <c r="CZ44">
        <f t="shared" si="7"/>
        <v>7.95</v>
      </c>
      <c r="DA44">
        <f t="shared" si="8"/>
        <v>6.13</v>
      </c>
      <c r="DB44">
        <v>0</v>
      </c>
    </row>
    <row r="45" spans="1:106" x14ac:dyDescent="0.2">
      <c r="A45">
        <f>ROW(Source!A33)</f>
        <v>33</v>
      </c>
      <c r="B45">
        <v>39476960</v>
      </c>
      <c r="C45">
        <v>39477434</v>
      </c>
      <c r="D45">
        <v>36802146</v>
      </c>
      <c r="E45">
        <v>1</v>
      </c>
      <c r="F45">
        <v>1</v>
      </c>
      <c r="G45">
        <v>1</v>
      </c>
      <c r="H45">
        <v>3</v>
      </c>
      <c r="I45" t="s">
        <v>883</v>
      </c>
      <c r="J45" t="s">
        <v>884</v>
      </c>
      <c r="K45" t="s">
        <v>885</v>
      </c>
      <c r="L45">
        <v>1302</v>
      </c>
      <c r="N45">
        <v>1003</v>
      </c>
      <c r="O45" t="s">
        <v>466</v>
      </c>
      <c r="P45" t="s">
        <v>466</v>
      </c>
      <c r="Q45">
        <v>10</v>
      </c>
      <c r="W45">
        <v>0</v>
      </c>
      <c r="X45">
        <v>-405326455</v>
      </c>
      <c r="Y45">
        <v>21.4</v>
      </c>
      <c r="AA45">
        <v>392.93</v>
      </c>
      <c r="AB45">
        <v>0</v>
      </c>
      <c r="AC45">
        <v>0</v>
      </c>
      <c r="AD45">
        <v>0</v>
      </c>
      <c r="AE45">
        <v>64.099999999999994</v>
      </c>
      <c r="AF45">
        <v>0</v>
      </c>
      <c r="AG45">
        <v>0</v>
      </c>
      <c r="AH45">
        <v>0</v>
      </c>
      <c r="AI45">
        <v>6.13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21.4</v>
      </c>
      <c r="AU45" t="s">
        <v>3</v>
      </c>
      <c r="AV45">
        <v>0</v>
      </c>
      <c r="AW45">
        <v>2</v>
      </c>
      <c r="AX45">
        <v>39477441</v>
      </c>
      <c r="AY45">
        <v>1</v>
      </c>
      <c r="AZ45">
        <v>0</v>
      </c>
      <c r="BA45">
        <v>47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Y45*Source!I33</f>
        <v>0.21185999999999999</v>
      </c>
      <c r="CY45">
        <f t="shared" si="6"/>
        <v>392.93</v>
      </c>
      <c r="CZ45">
        <f t="shared" si="7"/>
        <v>64.099999999999994</v>
      </c>
      <c r="DA45">
        <f t="shared" si="8"/>
        <v>6.13</v>
      </c>
      <c r="DB45">
        <v>0</v>
      </c>
    </row>
    <row r="46" spans="1:106" x14ac:dyDescent="0.2">
      <c r="A46">
        <f>ROW(Source!A33)</f>
        <v>33</v>
      </c>
      <c r="B46">
        <v>39476960</v>
      </c>
      <c r="C46">
        <v>39477434</v>
      </c>
      <c r="D46">
        <v>36804571</v>
      </c>
      <c r="E46">
        <v>1</v>
      </c>
      <c r="F46">
        <v>1</v>
      </c>
      <c r="G46">
        <v>1</v>
      </c>
      <c r="H46">
        <v>3</v>
      </c>
      <c r="I46" t="s">
        <v>886</v>
      </c>
      <c r="J46" t="s">
        <v>887</v>
      </c>
      <c r="K46" t="s">
        <v>888</v>
      </c>
      <c r="L46">
        <v>1358</v>
      </c>
      <c r="N46">
        <v>1010</v>
      </c>
      <c r="O46" t="s">
        <v>160</v>
      </c>
      <c r="P46" t="s">
        <v>160</v>
      </c>
      <c r="Q46">
        <v>10</v>
      </c>
      <c r="W46">
        <v>0</v>
      </c>
      <c r="X46">
        <v>-858120743</v>
      </c>
      <c r="Y46">
        <v>61.2</v>
      </c>
      <c r="AA46">
        <v>43.09</v>
      </c>
      <c r="AB46">
        <v>0</v>
      </c>
      <c r="AC46">
        <v>0</v>
      </c>
      <c r="AD46">
        <v>0</v>
      </c>
      <c r="AE46">
        <v>7.03</v>
      </c>
      <c r="AF46">
        <v>0</v>
      </c>
      <c r="AG46">
        <v>0</v>
      </c>
      <c r="AH46">
        <v>0</v>
      </c>
      <c r="AI46">
        <v>6.13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61.2</v>
      </c>
      <c r="AU46" t="s">
        <v>3</v>
      </c>
      <c r="AV46">
        <v>0</v>
      </c>
      <c r="AW46">
        <v>2</v>
      </c>
      <c r="AX46">
        <v>39477442</v>
      </c>
      <c r="AY46">
        <v>1</v>
      </c>
      <c r="AZ46">
        <v>0</v>
      </c>
      <c r="BA46">
        <v>48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Y46*Source!I33</f>
        <v>0.60588000000000009</v>
      </c>
      <c r="CY46">
        <f t="shared" si="6"/>
        <v>43.09</v>
      </c>
      <c r="CZ46">
        <f t="shared" si="7"/>
        <v>7.03</v>
      </c>
      <c r="DA46">
        <f t="shared" si="8"/>
        <v>6.13</v>
      </c>
      <c r="DB46">
        <v>0</v>
      </c>
    </row>
    <row r="47" spans="1:106" x14ac:dyDescent="0.2">
      <c r="A47">
        <f>ROW(Source!A33)</f>
        <v>33</v>
      </c>
      <c r="B47">
        <v>39476960</v>
      </c>
      <c r="C47">
        <v>39477434</v>
      </c>
      <c r="D47">
        <v>36831952</v>
      </c>
      <c r="E47">
        <v>1</v>
      </c>
      <c r="F47">
        <v>1</v>
      </c>
      <c r="G47">
        <v>1</v>
      </c>
      <c r="H47">
        <v>3</v>
      </c>
      <c r="I47" t="s">
        <v>59</v>
      </c>
      <c r="J47" t="s">
        <v>62</v>
      </c>
      <c r="K47" t="s">
        <v>60</v>
      </c>
      <c r="L47">
        <v>1327</v>
      </c>
      <c r="N47">
        <v>1005</v>
      </c>
      <c r="O47" t="s">
        <v>61</v>
      </c>
      <c r="P47" t="s">
        <v>61</v>
      </c>
      <c r="Q47">
        <v>1</v>
      </c>
      <c r="W47">
        <v>0</v>
      </c>
      <c r="X47">
        <v>-1650336261</v>
      </c>
      <c r="Y47">
        <v>100</v>
      </c>
      <c r="AA47">
        <v>33778.019999999997</v>
      </c>
      <c r="AB47">
        <v>0</v>
      </c>
      <c r="AC47">
        <v>0</v>
      </c>
      <c r="AD47">
        <v>0</v>
      </c>
      <c r="AE47">
        <v>5510.28</v>
      </c>
      <c r="AF47">
        <v>0</v>
      </c>
      <c r="AG47">
        <v>0</v>
      </c>
      <c r="AH47">
        <v>0</v>
      </c>
      <c r="AI47">
        <v>6.13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3</v>
      </c>
      <c r="AT47">
        <v>100</v>
      </c>
      <c r="AU47" t="s">
        <v>3</v>
      </c>
      <c r="AV47">
        <v>0</v>
      </c>
      <c r="AW47">
        <v>1</v>
      </c>
      <c r="AX47">
        <v>-1</v>
      </c>
      <c r="AY47">
        <v>0</v>
      </c>
      <c r="AZ47">
        <v>0</v>
      </c>
      <c r="BA47" t="s">
        <v>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Y47*Source!I33</f>
        <v>0.9900000000000001</v>
      </c>
      <c r="CY47">
        <f t="shared" si="6"/>
        <v>33778.019999999997</v>
      </c>
      <c r="CZ47">
        <f t="shared" si="7"/>
        <v>5510.28</v>
      </c>
      <c r="DA47">
        <f t="shared" si="8"/>
        <v>6.13</v>
      </c>
      <c r="DB47">
        <v>0</v>
      </c>
    </row>
    <row r="48" spans="1:106" x14ac:dyDescent="0.2">
      <c r="A48">
        <f>ROW(Source!A33)</f>
        <v>33</v>
      </c>
      <c r="B48">
        <v>39476960</v>
      </c>
      <c r="C48">
        <v>39477434</v>
      </c>
      <c r="D48">
        <v>36796973</v>
      </c>
      <c r="E48">
        <v>17</v>
      </c>
      <c r="F48">
        <v>1</v>
      </c>
      <c r="G48">
        <v>1</v>
      </c>
      <c r="H48">
        <v>3</v>
      </c>
      <c r="I48" t="s">
        <v>64</v>
      </c>
      <c r="J48" t="s">
        <v>3</v>
      </c>
      <c r="K48" t="s">
        <v>65</v>
      </c>
      <c r="L48">
        <v>1327</v>
      </c>
      <c r="N48">
        <v>1005</v>
      </c>
      <c r="O48" t="s">
        <v>61</v>
      </c>
      <c r="P48" t="s">
        <v>61</v>
      </c>
      <c r="Q48">
        <v>1</v>
      </c>
      <c r="W48">
        <v>0</v>
      </c>
      <c r="X48">
        <v>1219964505</v>
      </c>
      <c r="Y48">
        <v>100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6.13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100</v>
      </c>
      <c r="AU48" t="s">
        <v>3</v>
      </c>
      <c r="AV48">
        <v>0</v>
      </c>
      <c r="AW48">
        <v>2</v>
      </c>
      <c r="AX48">
        <v>39477443</v>
      </c>
      <c r="AY48">
        <v>1</v>
      </c>
      <c r="AZ48">
        <v>0</v>
      </c>
      <c r="BA48">
        <v>49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Y48*Source!I33</f>
        <v>0.9900000000000001</v>
      </c>
      <c r="CY48">
        <f t="shared" si="6"/>
        <v>0</v>
      </c>
      <c r="CZ48">
        <f t="shared" si="7"/>
        <v>0</v>
      </c>
      <c r="DA48">
        <f t="shared" si="8"/>
        <v>6.13</v>
      </c>
      <c r="DB48">
        <v>0</v>
      </c>
    </row>
    <row r="49" spans="1:106" x14ac:dyDescent="0.2">
      <c r="A49">
        <f>ROW(Source!A33)</f>
        <v>33</v>
      </c>
      <c r="B49">
        <v>39476960</v>
      </c>
      <c r="C49">
        <v>39477434</v>
      </c>
      <c r="D49">
        <v>36832273</v>
      </c>
      <c r="E49">
        <v>1</v>
      </c>
      <c r="F49">
        <v>1</v>
      </c>
      <c r="G49">
        <v>1</v>
      </c>
      <c r="H49">
        <v>3</v>
      </c>
      <c r="I49" t="s">
        <v>889</v>
      </c>
      <c r="J49" t="s">
        <v>890</v>
      </c>
      <c r="K49" t="s">
        <v>891</v>
      </c>
      <c r="L49">
        <v>1355</v>
      </c>
      <c r="N49">
        <v>1010</v>
      </c>
      <c r="O49" t="s">
        <v>429</v>
      </c>
      <c r="P49" t="s">
        <v>429</v>
      </c>
      <c r="Q49">
        <v>100</v>
      </c>
      <c r="W49">
        <v>0</v>
      </c>
      <c r="X49">
        <v>1709713925</v>
      </c>
      <c r="Y49">
        <v>8</v>
      </c>
      <c r="AA49">
        <v>306.5</v>
      </c>
      <c r="AB49">
        <v>0</v>
      </c>
      <c r="AC49">
        <v>0</v>
      </c>
      <c r="AD49">
        <v>0</v>
      </c>
      <c r="AE49">
        <v>50</v>
      </c>
      <c r="AF49">
        <v>0</v>
      </c>
      <c r="AG49">
        <v>0</v>
      </c>
      <c r="AH49">
        <v>0</v>
      </c>
      <c r="AI49">
        <v>6.13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8</v>
      </c>
      <c r="AU49" t="s">
        <v>3</v>
      </c>
      <c r="AV49">
        <v>0</v>
      </c>
      <c r="AW49">
        <v>2</v>
      </c>
      <c r="AX49">
        <v>39477444</v>
      </c>
      <c r="AY49">
        <v>1</v>
      </c>
      <c r="AZ49">
        <v>0</v>
      </c>
      <c r="BA49">
        <v>50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Y49*Source!I33</f>
        <v>7.9200000000000007E-2</v>
      </c>
      <c r="CY49">
        <f t="shared" si="6"/>
        <v>306.5</v>
      </c>
      <c r="CZ49">
        <f t="shared" si="7"/>
        <v>50</v>
      </c>
      <c r="DA49">
        <f t="shared" si="8"/>
        <v>6.13</v>
      </c>
      <c r="DB49">
        <v>0</v>
      </c>
    </row>
    <row r="50" spans="1:106" x14ac:dyDescent="0.2">
      <c r="A50">
        <f>ROW(Source!A33)</f>
        <v>33</v>
      </c>
      <c r="B50">
        <v>39476960</v>
      </c>
      <c r="C50">
        <v>39477434</v>
      </c>
      <c r="D50">
        <v>36838722</v>
      </c>
      <c r="E50">
        <v>1</v>
      </c>
      <c r="F50">
        <v>1</v>
      </c>
      <c r="G50">
        <v>1</v>
      </c>
      <c r="H50">
        <v>3</v>
      </c>
      <c r="I50" t="s">
        <v>892</v>
      </c>
      <c r="J50" t="s">
        <v>893</v>
      </c>
      <c r="K50" t="s">
        <v>894</v>
      </c>
      <c r="L50">
        <v>1354</v>
      </c>
      <c r="N50">
        <v>1010</v>
      </c>
      <c r="O50" t="s">
        <v>415</v>
      </c>
      <c r="P50" t="s">
        <v>415</v>
      </c>
      <c r="Q50">
        <v>1</v>
      </c>
      <c r="W50">
        <v>0</v>
      </c>
      <c r="X50">
        <v>-1018551266</v>
      </c>
      <c r="Y50">
        <v>92</v>
      </c>
      <c r="AA50">
        <v>410.71</v>
      </c>
      <c r="AB50">
        <v>0</v>
      </c>
      <c r="AC50">
        <v>0</v>
      </c>
      <c r="AD50">
        <v>0</v>
      </c>
      <c r="AE50">
        <v>67</v>
      </c>
      <c r="AF50">
        <v>0</v>
      </c>
      <c r="AG50">
        <v>0</v>
      </c>
      <c r="AH50">
        <v>0</v>
      </c>
      <c r="AI50">
        <v>6.13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92</v>
      </c>
      <c r="AU50" t="s">
        <v>3</v>
      </c>
      <c r="AV50">
        <v>0</v>
      </c>
      <c r="AW50">
        <v>2</v>
      </c>
      <c r="AX50">
        <v>39477445</v>
      </c>
      <c r="AY50">
        <v>1</v>
      </c>
      <c r="AZ50">
        <v>0</v>
      </c>
      <c r="BA50">
        <v>51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Y50*Source!I33</f>
        <v>0.91080000000000005</v>
      </c>
      <c r="CY50">
        <f t="shared" si="6"/>
        <v>410.71</v>
      </c>
      <c r="CZ50">
        <f t="shared" si="7"/>
        <v>67</v>
      </c>
      <c r="DA50">
        <f t="shared" si="8"/>
        <v>6.13</v>
      </c>
      <c r="DB50">
        <v>0</v>
      </c>
    </row>
    <row r="51" spans="1:106" x14ac:dyDescent="0.2">
      <c r="A51">
        <f>ROW(Source!A36)</f>
        <v>36</v>
      </c>
      <c r="B51">
        <v>39476960</v>
      </c>
      <c r="C51">
        <v>39477447</v>
      </c>
      <c r="D51">
        <v>37065248</v>
      </c>
      <c r="E51">
        <v>1</v>
      </c>
      <c r="F51">
        <v>1</v>
      </c>
      <c r="G51">
        <v>1</v>
      </c>
      <c r="H51">
        <v>1</v>
      </c>
      <c r="I51" t="s">
        <v>895</v>
      </c>
      <c r="J51" t="s">
        <v>3</v>
      </c>
      <c r="K51" t="s">
        <v>896</v>
      </c>
      <c r="L51">
        <v>1191</v>
      </c>
      <c r="N51">
        <v>1013</v>
      </c>
      <c r="O51" t="s">
        <v>796</v>
      </c>
      <c r="P51" t="s">
        <v>796</v>
      </c>
      <c r="Q51">
        <v>1</v>
      </c>
      <c r="W51">
        <v>0</v>
      </c>
      <c r="X51">
        <v>-400197608</v>
      </c>
      <c r="Y51">
        <v>29.2422</v>
      </c>
      <c r="AA51">
        <v>0</v>
      </c>
      <c r="AB51">
        <v>0</v>
      </c>
      <c r="AC51">
        <v>0</v>
      </c>
      <c r="AD51">
        <v>52.29</v>
      </c>
      <c r="AE51">
        <v>0</v>
      </c>
      <c r="AF51">
        <v>0</v>
      </c>
      <c r="AG51">
        <v>0</v>
      </c>
      <c r="AH51">
        <v>8.5299999999999994</v>
      </c>
      <c r="AI51">
        <v>1</v>
      </c>
      <c r="AJ51">
        <v>1</v>
      </c>
      <c r="AK51">
        <v>1</v>
      </c>
      <c r="AL51">
        <v>6.13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21.19</v>
      </c>
      <c r="AU51" t="s">
        <v>54</v>
      </c>
      <c r="AV51">
        <v>1</v>
      </c>
      <c r="AW51">
        <v>2</v>
      </c>
      <c r="AX51">
        <v>39477448</v>
      </c>
      <c r="AY51">
        <v>1</v>
      </c>
      <c r="AZ51">
        <v>0</v>
      </c>
      <c r="BA51">
        <v>52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Y51*Source!I36</f>
        <v>0.26317979999999996</v>
      </c>
      <c r="CY51">
        <f>AD51</f>
        <v>52.29</v>
      </c>
      <c r="CZ51">
        <f>AH51</f>
        <v>8.5299999999999994</v>
      </c>
      <c r="DA51">
        <f>AL51</f>
        <v>6.13</v>
      </c>
      <c r="DB51">
        <v>0</v>
      </c>
    </row>
    <row r="52" spans="1:106" x14ac:dyDescent="0.2">
      <c r="A52">
        <f>ROW(Source!A36)</f>
        <v>36</v>
      </c>
      <c r="B52">
        <v>39476960</v>
      </c>
      <c r="C52">
        <v>39477447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797</v>
      </c>
      <c r="J52" t="s">
        <v>3</v>
      </c>
      <c r="K52" t="s">
        <v>798</v>
      </c>
      <c r="L52">
        <v>1191</v>
      </c>
      <c r="N52">
        <v>1013</v>
      </c>
      <c r="O52" t="s">
        <v>796</v>
      </c>
      <c r="P52" t="s">
        <v>796</v>
      </c>
      <c r="Q52">
        <v>1</v>
      </c>
      <c r="W52">
        <v>0</v>
      </c>
      <c r="X52">
        <v>-1417349443</v>
      </c>
      <c r="Y52">
        <v>0.19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6.13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0.19</v>
      </c>
      <c r="AU52" t="s">
        <v>3</v>
      </c>
      <c r="AV52">
        <v>2</v>
      </c>
      <c r="AW52">
        <v>2</v>
      </c>
      <c r="AX52">
        <v>39477449</v>
      </c>
      <c r="AY52">
        <v>1</v>
      </c>
      <c r="AZ52">
        <v>2048</v>
      </c>
      <c r="BA52">
        <v>53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Y52*Source!I36</f>
        <v>1.7099999999999999E-3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ROW(Source!A36)</f>
        <v>36</v>
      </c>
      <c r="B53">
        <v>39476960</v>
      </c>
      <c r="C53">
        <v>39477447</v>
      </c>
      <c r="D53">
        <v>36882452</v>
      </c>
      <c r="E53">
        <v>1</v>
      </c>
      <c r="F53">
        <v>1</v>
      </c>
      <c r="G53">
        <v>1</v>
      </c>
      <c r="H53">
        <v>2</v>
      </c>
      <c r="I53" t="s">
        <v>799</v>
      </c>
      <c r="J53" t="s">
        <v>800</v>
      </c>
      <c r="K53" t="s">
        <v>801</v>
      </c>
      <c r="L53">
        <v>1368</v>
      </c>
      <c r="N53">
        <v>1011</v>
      </c>
      <c r="O53" t="s">
        <v>802</v>
      </c>
      <c r="P53" t="s">
        <v>802</v>
      </c>
      <c r="Q53">
        <v>1</v>
      </c>
      <c r="W53">
        <v>0</v>
      </c>
      <c r="X53">
        <v>1188625873</v>
      </c>
      <c r="Y53">
        <v>0.06</v>
      </c>
      <c r="AA53">
        <v>0</v>
      </c>
      <c r="AB53">
        <v>191.62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6.13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0.04</v>
      </c>
      <c r="AU53" t="s">
        <v>53</v>
      </c>
      <c r="AV53">
        <v>0</v>
      </c>
      <c r="AW53">
        <v>2</v>
      </c>
      <c r="AX53">
        <v>39477450</v>
      </c>
      <c r="AY53">
        <v>1</v>
      </c>
      <c r="AZ53">
        <v>0</v>
      </c>
      <c r="BA53">
        <v>54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Y53*Source!I36</f>
        <v>5.399999999999999E-4</v>
      </c>
      <c r="CY53">
        <f>AB53</f>
        <v>191.62</v>
      </c>
      <c r="CZ53">
        <f>AF53</f>
        <v>31.26</v>
      </c>
      <c r="DA53">
        <f>AJ53</f>
        <v>6.13</v>
      </c>
      <c r="DB53">
        <v>0</v>
      </c>
    </row>
    <row r="54" spans="1:106" x14ac:dyDescent="0.2">
      <c r="A54">
        <f>ROW(Source!A36)</f>
        <v>36</v>
      </c>
      <c r="B54">
        <v>39476960</v>
      </c>
      <c r="C54">
        <v>39477447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834</v>
      </c>
      <c r="J54" t="s">
        <v>835</v>
      </c>
      <c r="K54" t="s">
        <v>836</v>
      </c>
      <c r="L54">
        <v>1368</v>
      </c>
      <c r="N54">
        <v>1011</v>
      </c>
      <c r="O54" t="s">
        <v>802</v>
      </c>
      <c r="P54" t="s">
        <v>802</v>
      </c>
      <c r="Q54">
        <v>1</v>
      </c>
      <c r="W54">
        <v>0</v>
      </c>
      <c r="X54">
        <v>1372534845</v>
      </c>
      <c r="Y54">
        <v>0.22499999999999998</v>
      </c>
      <c r="AA54">
        <v>0</v>
      </c>
      <c r="AB54">
        <v>402.8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6.13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0.15</v>
      </c>
      <c r="AU54" t="s">
        <v>53</v>
      </c>
      <c r="AV54">
        <v>0</v>
      </c>
      <c r="AW54">
        <v>2</v>
      </c>
      <c r="AX54">
        <v>39477451</v>
      </c>
      <c r="AY54">
        <v>1</v>
      </c>
      <c r="AZ54">
        <v>0</v>
      </c>
      <c r="BA54">
        <v>55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Y54*Source!I36</f>
        <v>2.0249999999999995E-3</v>
      </c>
      <c r="CY54">
        <f>AB54</f>
        <v>402.8</v>
      </c>
      <c r="CZ54">
        <f>AF54</f>
        <v>65.709999999999994</v>
      </c>
      <c r="DA54">
        <f>AJ54</f>
        <v>6.13</v>
      </c>
      <c r="DB54">
        <v>0</v>
      </c>
    </row>
    <row r="55" spans="1:106" x14ac:dyDescent="0.2">
      <c r="A55">
        <f>ROW(Source!A36)</f>
        <v>36</v>
      </c>
      <c r="B55">
        <v>39476960</v>
      </c>
      <c r="C55">
        <v>39477447</v>
      </c>
      <c r="D55">
        <v>36796976</v>
      </c>
      <c r="E55">
        <v>17</v>
      </c>
      <c r="F55">
        <v>1</v>
      </c>
      <c r="G55">
        <v>1</v>
      </c>
      <c r="H55">
        <v>3</v>
      </c>
      <c r="I55" t="s">
        <v>77</v>
      </c>
      <c r="J55" t="s">
        <v>3</v>
      </c>
      <c r="K55" t="s">
        <v>78</v>
      </c>
      <c r="L55">
        <v>1301</v>
      </c>
      <c r="N55">
        <v>1003</v>
      </c>
      <c r="O55" t="s">
        <v>74</v>
      </c>
      <c r="P55" t="s">
        <v>74</v>
      </c>
      <c r="Q55">
        <v>1</v>
      </c>
      <c r="W55">
        <v>0</v>
      </c>
      <c r="X55">
        <v>1170915945</v>
      </c>
      <c r="Y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6.13</v>
      </c>
      <c r="AJ55">
        <v>1</v>
      </c>
      <c r="AK55">
        <v>1</v>
      </c>
      <c r="AL55">
        <v>1</v>
      </c>
      <c r="AN55">
        <v>1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0</v>
      </c>
      <c r="AU55" t="s">
        <v>3</v>
      </c>
      <c r="AV55">
        <v>0</v>
      </c>
      <c r="AW55">
        <v>2</v>
      </c>
      <c r="AX55">
        <v>39477452</v>
      </c>
      <c r="AY55">
        <v>1</v>
      </c>
      <c r="AZ55">
        <v>0</v>
      </c>
      <c r="BA55">
        <v>56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Y55*Source!I36</f>
        <v>0</v>
      </c>
      <c r="CY55">
        <f>AA55</f>
        <v>0</v>
      </c>
      <c r="CZ55">
        <f>AE55</f>
        <v>0</v>
      </c>
      <c r="DA55">
        <f>AI55</f>
        <v>6.13</v>
      </c>
      <c r="DB55">
        <v>0</v>
      </c>
    </row>
    <row r="56" spans="1:106" x14ac:dyDescent="0.2">
      <c r="A56">
        <f>ROW(Source!A36)</f>
        <v>36</v>
      </c>
      <c r="B56">
        <v>39476960</v>
      </c>
      <c r="C56">
        <v>39477447</v>
      </c>
      <c r="D56">
        <v>36832119</v>
      </c>
      <c r="E56">
        <v>1</v>
      </c>
      <c r="F56">
        <v>1</v>
      </c>
      <c r="G56">
        <v>1</v>
      </c>
      <c r="H56">
        <v>3</v>
      </c>
      <c r="I56" t="s">
        <v>72</v>
      </c>
      <c r="J56" t="s">
        <v>75</v>
      </c>
      <c r="K56" t="s">
        <v>73</v>
      </c>
      <c r="L56">
        <v>1301</v>
      </c>
      <c r="N56">
        <v>1003</v>
      </c>
      <c r="O56" t="s">
        <v>74</v>
      </c>
      <c r="P56" t="s">
        <v>74</v>
      </c>
      <c r="Q56">
        <v>1</v>
      </c>
      <c r="W56">
        <v>0</v>
      </c>
      <c r="X56">
        <v>1729479844</v>
      </c>
      <c r="Y56">
        <v>100</v>
      </c>
      <c r="AA56">
        <v>285.72000000000003</v>
      </c>
      <c r="AB56">
        <v>0</v>
      </c>
      <c r="AC56">
        <v>0</v>
      </c>
      <c r="AD56">
        <v>0</v>
      </c>
      <c r="AE56">
        <v>46.61</v>
      </c>
      <c r="AF56">
        <v>0</v>
      </c>
      <c r="AG56">
        <v>0</v>
      </c>
      <c r="AH56">
        <v>0</v>
      </c>
      <c r="AI56">
        <v>6.13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100</v>
      </c>
      <c r="AU56" t="s">
        <v>3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Y56*Source!I36</f>
        <v>0.89999999999999991</v>
      </c>
      <c r="CY56">
        <f>AA56</f>
        <v>285.72000000000003</v>
      </c>
      <c r="CZ56">
        <f>AE56</f>
        <v>46.61</v>
      </c>
      <c r="DA56">
        <f>AI56</f>
        <v>6.13</v>
      </c>
      <c r="DB56">
        <v>0</v>
      </c>
    </row>
    <row r="57" spans="1:106" x14ac:dyDescent="0.2">
      <c r="A57">
        <f>ROW(Source!A36)</f>
        <v>36</v>
      </c>
      <c r="B57">
        <v>39476960</v>
      </c>
      <c r="C57">
        <v>39477447</v>
      </c>
      <c r="D57">
        <v>36832273</v>
      </c>
      <c r="E57">
        <v>1</v>
      </c>
      <c r="F57">
        <v>1</v>
      </c>
      <c r="G57">
        <v>1</v>
      </c>
      <c r="H57">
        <v>3</v>
      </c>
      <c r="I57" t="s">
        <v>889</v>
      </c>
      <c r="J57" t="s">
        <v>890</v>
      </c>
      <c r="K57" t="s">
        <v>891</v>
      </c>
      <c r="L57">
        <v>1355</v>
      </c>
      <c r="N57">
        <v>1010</v>
      </c>
      <c r="O57" t="s">
        <v>429</v>
      </c>
      <c r="P57" t="s">
        <v>429</v>
      </c>
      <c r="Q57">
        <v>100</v>
      </c>
      <c r="W57">
        <v>0</v>
      </c>
      <c r="X57">
        <v>1709713925</v>
      </c>
      <c r="Y57">
        <v>4</v>
      </c>
      <c r="AA57">
        <v>306.5</v>
      </c>
      <c r="AB57">
        <v>0</v>
      </c>
      <c r="AC57">
        <v>0</v>
      </c>
      <c r="AD57">
        <v>0</v>
      </c>
      <c r="AE57">
        <v>50</v>
      </c>
      <c r="AF57">
        <v>0</v>
      </c>
      <c r="AG57">
        <v>0</v>
      </c>
      <c r="AH57">
        <v>0</v>
      </c>
      <c r="AI57">
        <v>6.13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4</v>
      </c>
      <c r="AU57" t="s">
        <v>3</v>
      </c>
      <c r="AV57">
        <v>0</v>
      </c>
      <c r="AW57">
        <v>2</v>
      </c>
      <c r="AX57">
        <v>39477453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Y57*Source!I36</f>
        <v>3.5999999999999997E-2</v>
      </c>
      <c r="CY57">
        <f>AA57</f>
        <v>306.5</v>
      </c>
      <c r="CZ57">
        <f>AE57</f>
        <v>50</v>
      </c>
      <c r="DA57">
        <f>AI57</f>
        <v>6.13</v>
      </c>
      <c r="DB57">
        <v>0</v>
      </c>
    </row>
    <row r="58" spans="1:106" x14ac:dyDescent="0.2">
      <c r="A58">
        <f>ROW(Source!A36)</f>
        <v>36</v>
      </c>
      <c r="B58">
        <v>39476960</v>
      </c>
      <c r="C58">
        <v>39477447</v>
      </c>
      <c r="D58">
        <v>36838722</v>
      </c>
      <c r="E58">
        <v>1</v>
      </c>
      <c r="F58">
        <v>1</v>
      </c>
      <c r="G58">
        <v>1</v>
      </c>
      <c r="H58">
        <v>3</v>
      </c>
      <c r="I58" t="s">
        <v>892</v>
      </c>
      <c r="J58" t="s">
        <v>893</v>
      </c>
      <c r="K58" t="s">
        <v>894</v>
      </c>
      <c r="L58">
        <v>1354</v>
      </c>
      <c r="N58">
        <v>1010</v>
      </c>
      <c r="O58" t="s">
        <v>415</v>
      </c>
      <c r="P58" t="s">
        <v>415</v>
      </c>
      <c r="Q58">
        <v>1</v>
      </c>
      <c r="W58">
        <v>0</v>
      </c>
      <c r="X58">
        <v>-1018551266</v>
      </c>
      <c r="Y58">
        <v>56.6</v>
      </c>
      <c r="AA58">
        <v>410.71</v>
      </c>
      <c r="AB58">
        <v>0</v>
      </c>
      <c r="AC58">
        <v>0</v>
      </c>
      <c r="AD58">
        <v>0</v>
      </c>
      <c r="AE58">
        <v>67</v>
      </c>
      <c r="AF58">
        <v>0</v>
      </c>
      <c r="AG58">
        <v>0</v>
      </c>
      <c r="AH58">
        <v>0</v>
      </c>
      <c r="AI58">
        <v>6.13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56.6</v>
      </c>
      <c r="AU58" t="s">
        <v>3</v>
      </c>
      <c r="AV58">
        <v>0</v>
      </c>
      <c r="AW58">
        <v>2</v>
      </c>
      <c r="AX58">
        <v>39477454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Y58*Source!I36</f>
        <v>0.50939999999999996</v>
      </c>
      <c r="CY58">
        <f>AA58</f>
        <v>410.71</v>
      </c>
      <c r="CZ58">
        <f>AE58</f>
        <v>67</v>
      </c>
      <c r="DA58">
        <f>AI58</f>
        <v>6.13</v>
      </c>
      <c r="DB58">
        <v>0</v>
      </c>
    </row>
    <row r="59" spans="1:106" x14ac:dyDescent="0.2">
      <c r="A59">
        <f>ROW(Source!A39)</f>
        <v>39</v>
      </c>
      <c r="B59">
        <v>39476960</v>
      </c>
      <c r="C59">
        <v>39477456</v>
      </c>
      <c r="D59">
        <v>37065248</v>
      </c>
      <c r="E59">
        <v>1</v>
      </c>
      <c r="F59">
        <v>1</v>
      </c>
      <c r="G59">
        <v>1</v>
      </c>
      <c r="H59">
        <v>1</v>
      </c>
      <c r="I59" t="s">
        <v>895</v>
      </c>
      <c r="J59" t="s">
        <v>3</v>
      </c>
      <c r="K59" t="s">
        <v>896</v>
      </c>
      <c r="L59">
        <v>1191</v>
      </c>
      <c r="N59">
        <v>1013</v>
      </c>
      <c r="O59" t="s">
        <v>796</v>
      </c>
      <c r="P59" t="s">
        <v>796</v>
      </c>
      <c r="Q59">
        <v>1</v>
      </c>
      <c r="W59">
        <v>0</v>
      </c>
      <c r="X59">
        <v>-400197608</v>
      </c>
      <c r="Y59">
        <v>155.595</v>
      </c>
      <c r="AA59">
        <v>0</v>
      </c>
      <c r="AB59">
        <v>0</v>
      </c>
      <c r="AC59">
        <v>0</v>
      </c>
      <c r="AD59">
        <v>52.29</v>
      </c>
      <c r="AE59">
        <v>0</v>
      </c>
      <c r="AF59">
        <v>0</v>
      </c>
      <c r="AG59">
        <v>0</v>
      </c>
      <c r="AH59">
        <v>8.5299999999999994</v>
      </c>
      <c r="AI59">
        <v>1</v>
      </c>
      <c r="AJ59">
        <v>1</v>
      </c>
      <c r="AK59">
        <v>1</v>
      </c>
      <c r="AL59">
        <v>6.13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112.75</v>
      </c>
      <c r="AU59" t="s">
        <v>54</v>
      </c>
      <c r="AV59">
        <v>1</v>
      </c>
      <c r="AW59">
        <v>2</v>
      </c>
      <c r="AX59">
        <v>39477457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Y59*Source!I39</f>
        <v>0.28007100000000001</v>
      </c>
      <c r="CY59">
        <f>AD59</f>
        <v>52.29</v>
      </c>
      <c r="CZ59">
        <f>AH59</f>
        <v>8.5299999999999994</v>
      </c>
      <c r="DA59">
        <f>AL59</f>
        <v>6.13</v>
      </c>
      <c r="DB59">
        <v>0</v>
      </c>
    </row>
    <row r="60" spans="1:106" x14ac:dyDescent="0.2">
      <c r="A60">
        <f>ROW(Source!A39)</f>
        <v>39</v>
      </c>
      <c r="B60">
        <v>39476960</v>
      </c>
      <c r="C60">
        <v>39477456</v>
      </c>
      <c r="D60">
        <v>37064876</v>
      </c>
      <c r="E60">
        <v>1</v>
      </c>
      <c r="F60">
        <v>1</v>
      </c>
      <c r="G60">
        <v>1</v>
      </c>
      <c r="H60">
        <v>1</v>
      </c>
      <c r="I60" t="s">
        <v>797</v>
      </c>
      <c r="J60" t="s">
        <v>3</v>
      </c>
      <c r="K60" t="s">
        <v>798</v>
      </c>
      <c r="L60">
        <v>1191</v>
      </c>
      <c r="N60">
        <v>1013</v>
      </c>
      <c r="O60" t="s">
        <v>796</v>
      </c>
      <c r="P60" t="s">
        <v>796</v>
      </c>
      <c r="Q60">
        <v>1</v>
      </c>
      <c r="W60">
        <v>0</v>
      </c>
      <c r="X60">
        <v>-1417349443</v>
      </c>
      <c r="Y60">
        <v>0.27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6.13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0.27</v>
      </c>
      <c r="AU60" t="s">
        <v>3</v>
      </c>
      <c r="AV60">
        <v>2</v>
      </c>
      <c r="AW60">
        <v>2</v>
      </c>
      <c r="AX60">
        <v>39477458</v>
      </c>
      <c r="AY60">
        <v>1</v>
      </c>
      <c r="AZ60">
        <v>2048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Y60*Source!I39</f>
        <v>4.86E-4</v>
      </c>
      <c r="CY60">
        <f>AD60</f>
        <v>0</v>
      </c>
      <c r="CZ60">
        <f>AH60</f>
        <v>0</v>
      </c>
      <c r="DA60">
        <f>AL60</f>
        <v>1</v>
      </c>
      <c r="DB60">
        <v>0</v>
      </c>
    </row>
    <row r="61" spans="1:106" x14ac:dyDescent="0.2">
      <c r="A61">
        <f>ROW(Source!A39)</f>
        <v>39</v>
      </c>
      <c r="B61">
        <v>39476960</v>
      </c>
      <c r="C61">
        <v>39477456</v>
      </c>
      <c r="D61">
        <v>36882057</v>
      </c>
      <c r="E61">
        <v>1</v>
      </c>
      <c r="F61">
        <v>1</v>
      </c>
      <c r="G61">
        <v>1</v>
      </c>
      <c r="H61">
        <v>2</v>
      </c>
      <c r="I61" t="s">
        <v>897</v>
      </c>
      <c r="J61" t="s">
        <v>898</v>
      </c>
      <c r="K61" t="s">
        <v>899</v>
      </c>
      <c r="L61">
        <v>1368</v>
      </c>
      <c r="N61">
        <v>1011</v>
      </c>
      <c r="O61" t="s">
        <v>802</v>
      </c>
      <c r="P61" t="s">
        <v>802</v>
      </c>
      <c r="Q61">
        <v>1</v>
      </c>
      <c r="W61">
        <v>0</v>
      </c>
      <c r="X61">
        <v>-1460065968</v>
      </c>
      <c r="Y61">
        <v>0.3</v>
      </c>
      <c r="AA61">
        <v>0</v>
      </c>
      <c r="AB61">
        <v>529.63</v>
      </c>
      <c r="AC61">
        <v>13.5</v>
      </c>
      <c r="AD61">
        <v>0</v>
      </c>
      <c r="AE61">
        <v>0</v>
      </c>
      <c r="AF61">
        <v>86.4</v>
      </c>
      <c r="AG61">
        <v>13.5</v>
      </c>
      <c r="AH61">
        <v>0</v>
      </c>
      <c r="AI61">
        <v>1</v>
      </c>
      <c r="AJ61">
        <v>6.13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0.2</v>
      </c>
      <c r="AU61" t="s">
        <v>53</v>
      </c>
      <c r="AV61">
        <v>0</v>
      </c>
      <c r="AW61">
        <v>2</v>
      </c>
      <c r="AX61">
        <v>39477459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Y61*Source!I39</f>
        <v>5.4000000000000001E-4</v>
      </c>
      <c r="CY61">
        <f>AB61</f>
        <v>529.63</v>
      </c>
      <c r="CZ61">
        <f>AF61</f>
        <v>86.4</v>
      </c>
      <c r="DA61">
        <f>AJ61</f>
        <v>6.13</v>
      </c>
      <c r="DB61">
        <v>0</v>
      </c>
    </row>
    <row r="62" spans="1:106" x14ac:dyDescent="0.2">
      <c r="A62">
        <f>ROW(Source!A39)</f>
        <v>39</v>
      </c>
      <c r="B62">
        <v>39476960</v>
      </c>
      <c r="C62">
        <v>39477456</v>
      </c>
      <c r="D62">
        <v>36883554</v>
      </c>
      <c r="E62">
        <v>1</v>
      </c>
      <c r="F62">
        <v>1</v>
      </c>
      <c r="G62">
        <v>1</v>
      </c>
      <c r="H62">
        <v>2</v>
      </c>
      <c r="I62" t="s">
        <v>834</v>
      </c>
      <c r="J62" t="s">
        <v>835</v>
      </c>
      <c r="K62" t="s">
        <v>836</v>
      </c>
      <c r="L62">
        <v>1368</v>
      </c>
      <c r="N62">
        <v>1011</v>
      </c>
      <c r="O62" t="s">
        <v>802</v>
      </c>
      <c r="P62" t="s">
        <v>802</v>
      </c>
      <c r="Q62">
        <v>1</v>
      </c>
      <c r="W62">
        <v>0</v>
      </c>
      <c r="X62">
        <v>1372534845</v>
      </c>
      <c r="Y62">
        <v>0.10500000000000001</v>
      </c>
      <c r="AA62">
        <v>0</v>
      </c>
      <c r="AB62">
        <v>402.8</v>
      </c>
      <c r="AC62">
        <v>11.6</v>
      </c>
      <c r="AD62">
        <v>0</v>
      </c>
      <c r="AE62">
        <v>0</v>
      </c>
      <c r="AF62">
        <v>65.709999999999994</v>
      </c>
      <c r="AG62">
        <v>11.6</v>
      </c>
      <c r="AH62">
        <v>0</v>
      </c>
      <c r="AI62">
        <v>1</v>
      </c>
      <c r="AJ62">
        <v>6.13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7.0000000000000007E-2</v>
      </c>
      <c r="AU62" t="s">
        <v>53</v>
      </c>
      <c r="AV62">
        <v>0</v>
      </c>
      <c r="AW62">
        <v>2</v>
      </c>
      <c r="AX62">
        <v>39477460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Y62*Source!I39</f>
        <v>1.8900000000000001E-4</v>
      </c>
      <c r="CY62">
        <f>AB62</f>
        <v>402.8</v>
      </c>
      <c r="CZ62">
        <f>AF62</f>
        <v>65.709999999999994</v>
      </c>
      <c r="DA62">
        <f>AJ62</f>
        <v>6.13</v>
      </c>
      <c r="DB62">
        <v>0</v>
      </c>
    </row>
    <row r="63" spans="1:106" x14ac:dyDescent="0.2">
      <c r="A63">
        <f>ROW(Source!A39)</f>
        <v>39</v>
      </c>
      <c r="B63">
        <v>39476960</v>
      </c>
      <c r="C63">
        <v>39477456</v>
      </c>
      <c r="D63">
        <v>36804565</v>
      </c>
      <c r="E63">
        <v>1</v>
      </c>
      <c r="F63">
        <v>1</v>
      </c>
      <c r="G63">
        <v>1</v>
      </c>
      <c r="H63">
        <v>3</v>
      </c>
      <c r="I63" t="s">
        <v>900</v>
      </c>
      <c r="J63" t="s">
        <v>901</v>
      </c>
      <c r="K63" t="s">
        <v>902</v>
      </c>
      <c r="L63">
        <v>1348</v>
      </c>
      <c r="N63">
        <v>1009</v>
      </c>
      <c r="O63" t="s">
        <v>34</v>
      </c>
      <c r="P63" t="s">
        <v>34</v>
      </c>
      <c r="Q63">
        <v>1000</v>
      </c>
      <c r="W63">
        <v>0</v>
      </c>
      <c r="X63">
        <v>-1818623805</v>
      </c>
      <c r="Y63">
        <v>4.0000000000000001E-3</v>
      </c>
      <c r="AA63">
        <v>51951.75</v>
      </c>
      <c r="AB63">
        <v>0</v>
      </c>
      <c r="AC63">
        <v>0</v>
      </c>
      <c r="AD63">
        <v>0</v>
      </c>
      <c r="AE63">
        <v>8475</v>
      </c>
      <c r="AF63">
        <v>0</v>
      </c>
      <c r="AG63">
        <v>0</v>
      </c>
      <c r="AH63">
        <v>0</v>
      </c>
      <c r="AI63">
        <v>6.13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4.0000000000000001E-3</v>
      </c>
      <c r="AU63" t="s">
        <v>3</v>
      </c>
      <c r="AV63">
        <v>0</v>
      </c>
      <c r="AW63">
        <v>2</v>
      </c>
      <c r="AX63">
        <v>39477461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Y63*Source!I39</f>
        <v>7.1999999999999997E-6</v>
      </c>
      <c r="CY63">
        <f>AA63</f>
        <v>51951.75</v>
      </c>
      <c r="CZ63">
        <f>AE63</f>
        <v>8475</v>
      </c>
      <c r="DA63">
        <f>AI63</f>
        <v>6.13</v>
      </c>
      <c r="DB63">
        <v>0</v>
      </c>
    </row>
    <row r="64" spans="1:106" x14ac:dyDescent="0.2">
      <c r="A64">
        <f>ROW(Source!A39)</f>
        <v>39</v>
      </c>
      <c r="B64">
        <v>39476960</v>
      </c>
      <c r="C64">
        <v>39477456</v>
      </c>
      <c r="D64">
        <v>36825633</v>
      </c>
      <c r="E64">
        <v>1</v>
      </c>
      <c r="F64">
        <v>1</v>
      </c>
      <c r="G64">
        <v>1</v>
      </c>
      <c r="H64">
        <v>3</v>
      </c>
      <c r="I64" t="s">
        <v>903</v>
      </c>
      <c r="J64" t="s">
        <v>904</v>
      </c>
      <c r="K64" t="s">
        <v>905</v>
      </c>
      <c r="L64">
        <v>1348</v>
      </c>
      <c r="N64">
        <v>1009</v>
      </c>
      <c r="O64" t="s">
        <v>34</v>
      </c>
      <c r="P64" t="s">
        <v>34</v>
      </c>
      <c r="Q64">
        <v>1000</v>
      </c>
      <c r="W64">
        <v>0</v>
      </c>
      <c r="X64">
        <v>-177380457</v>
      </c>
      <c r="Y64">
        <v>1.2E-2</v>
      </c>
      <c r="AA64">
        <v>50204.7</v>
      </c>
      <c r="AB64">
        <v>0</v>
      </c>
      <c r="AC64">
        <v>0</v>
      </c>
      <c r="AD64">
        <v>0</v>
      </c>
      <c r="AE64">
        <v>8190</v>
      </c>
      <c r="AF64">
        <v>0</v>
      </c>
      <c r="AG64">
        <v>0</v>
      </c>
      <c r="AH64">
        <v>0</v>
      </c>
      <c r="AI64">
        <v>6.13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1.2E-2</v>
      </c>
      <c r="AU64" t="s">
        <v>3</v>
      </c>
      <c r="AV64">
        <v>0</v>
      </c>
      <c r="AW64">
        <v>2</v>
      </c>
      <c r="AX64">
        <v>39477462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Y64*Source!I39</f>
        <v>2.16E-5</v>
      </c>
      <c r="CY64">
        <f>AA64</f>
        <v>50204.7</v>
      </c>
      <c r="CZ64">
        <f>AE64</f>
        <v>8190</v>
      </c>
      <c r="DA64">
        <f>AI64</f>
        <v>6.13</v>
      </c>
      <c r="DB64">
        <v>0</v>
      </c>
    </row>
    <row r="65" spans="1:106" x14ac:dyDescent="0.2">
      <c r="A65">
        <f>ROW(Source!A39)</f>
        <v>39</v>
      </c>
      <c r="B65">
        <v>39476960</v>
      </c>
      <c r="C65">
        <v>39477456</v>
      </c>
      <c r="D65">
        <v>36825880</v>
      </c>
      <c r="E65">
        <v>1</v>
      </c>
      <c r="F65">
        <v>1</v>
      </c>
      <c r="G65">
        <v>1</v>
      </c>
      <c r="H65">
        <v>3</v>
      </c>
      <c r="I65" t="s">
        <v>906</v>
      </c>
      <c r="J65" t="s">
        <v>907</v>
      </c>
      <c r="K65" t="s">
        <v>908</v>
      </c>
      <c r="L65">
        <v>1348</v>
      </c>
      <c r="N65">
        <v>1009</v>
      </c>
      <c r="O65" t="s">
        <v>34</v>
      </c>
      <c r="P65" t="s">
        <v>34</v>
      </c>
      <c r="Q65">
        <v>1000</v>
      </c>
      <c r="W65">
        <v>0</v>
      </c>
      <c r="X65">
        <v>-272931147</v>
      </c>
      <c r="Y65">
        <v>0.78200000000000003</v>
      </c>
      <c r="AA65">
        <v>68656</v>
      </c>
      <c r="AB65">
        <v>0</v>
      </c>
      <c r="AC65">
        <v>0</v>
      </c>
      <c r="AD65">
        <v>0</v>
      </c>
      <c r="AE65">
        <v>11200</v>
      </c>
      <c r="AF65">
        <v>0</v>
      </c>
      <c r="AG65">
        <v>0</v>
      </c>
      <c r="AH65">
        <v>0</v>
      </c>
      <c r="AI65">
        <v>6.13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0.78200000000000003</v>
      </c>
      <c r="AU65" t="s">
        <v>3</v>
      </c>
      <c r="AV65">
        <v>0</v>
      </c>
      <c r="AW65">
        <v>2</v>
      </c>
      <c r="AX65">
        <v>39477463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Y65*Source!I39</f>
        <v>1.4076E-3</v>
      </c>
      <c r="CY65">
        <f>AA65</f>
        <v>68656</v>
      </c>
      <c r="CZ65">
        <f>AE65</f>
        <v>11200</v>
      </c>
      <c r="DA65">
        <f>AI65</f>
        <v>6.13</v>
      </c>
      <c r="DB65">
        <v>0</v>
      </c>
    </row>
    <row r="66" spans="1:106" x14ac:dyDescent="0.2">
      <c r="A66">
        <f>ROW(Source!A40)</f>
        <v>40</v>
      </c>
      <c r="B66">
        <v>39476960</v>
      </c>
      <c r="C66">
        <v>39477464</v>
      </c>
      <c r="D66">
        <v>37064978</v>
      </c>
      <c r="E66">
        <v>1</v>
      </c>
      <c r="F66">
        <v>1</v>
      </c>
      <c r="G66">
        <v>1</v>
      </c>
      <c r="H66">
        <v>1</v>
      </c>
      <c r="I66" t="s">
        <v>809</v>
      </c>
      <c r="J66" t="s">
        <v>3</v>
      </c>
      <c r="K66" t="s">
        <v>810</v>
      </c>
      <c r="L66">
        <v>1191</v>
      </c>
      <c r="N66">
        <v>1013</v>
      </c>
      <c r="O66" t="s">
        <v>796</v>
      </c>
      <c r="P66" t="s">
        <v>796</v>
      </c>
      <c r="Q66">
        <v>1</v>
      </c>
      <c r="W66">
        <v>0</v>
      </c>
      <c r="X66">
        <v>-719309759</v>
      </c>
      <c r="Y66">
        <v>277.37999999999994</v>
      </c>
      <c r="AA66">
        <v>0</v>
      </c>
      <c r="AB66">
        <v>0</v>
      </c>
      <c r="AC66">
        <v>0</v>
      </c>
      <c r="AD66">
        <v>54.31</v>
      </c>
      <c r="AE66">
        <v>0</v>
      </c>
      <c r="AF66">
        <v>0</v>
      </c>
      <c r="AG66">
        <v>0</v>
      </c>
      <c r="AH66">
        <v>8.86</v>
      </c>
      <c r="AI66">
        <v>1</v>
      </c>
      <c r="AJ66">
        <v>1</v>
      </c>
      <c r="AK66">
        <v>1</v>
      </c>
      <c r="AL66">
        <v>6.13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201</v>
      </c>
      <c r="AU66" t="s">
        <v>54</v>
      </c>
      <c r="AV66">
        <v>1</v>
      </c>
      <c r="AW66">
        <v>2</v>
      </c>
      <c r="AX66">
        <v>39477465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Y66*Source!I40</f>
        <v>53.256959999999992</v>
      </c>
      <c r="CY66">
        <f>AD66</f>
        <v>54.31</v>
      </c>
      <c r="CZ66">
        <f>AH66</f>
        <v>8.86</v>
      </c>
      <c r="DA66">
        <f>AL66</f>
        <v>6.13</v>
      </c>
      <c r="DB66">
        <v>0</v>
      </c>
    </row>
    <row r="67" spans="1:106" x14ac:dyDescent="0.2">
      <c r="A67">
        <f>ROW(Source!A40)</f>
        <v>40</v>
      </c>
      <c r="B67">
        <v>39476960</v>
      </c>
      <c r="C67">
        <v>39477464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797</v>
      </c>
      <c r="J67" t="s">
        <v>3</v>
      </c>
      <c r="K67" t="s">
        <v>798</v>
      </c>
      <c r="L67">
        <v>1191</v>
      </c>
      <c r="N67">
        <v>1013</v>
      </c>
      <c r="O67" t="s">
        <v>796</v>
      </c>
      <c r="P67" t="s">
        <v>796</v>
      </c>
      <c r="Q67">
        <v>1</v>
      </c>
      <c r="W67">
        <v>0</v>
      </c>
      <c r="X67">
        <v>-1417349443</v>
      </c>
      <c r="Y67">
        <v>4.62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6.13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4.62</v>
      </c>
      <c r="AU67" t="s">
        <v>3</v>
      </c>
      <c r="AV67">
        <v>2</v>
      </c>
      <c r="AW67">
        <v>2</v>
      </c>
      <c r="AX67">
        <v>39477466</v>
      </c>
      <c r="AY67">
        <v>1</v>
      </c>
      <c r="AZ67">
        <v>2048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Y67*Source!I40</f>
        <v>0.88704000000000005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ROW(Source!A40)</f>
        <v>40</v>
      </c>
      <c r="B68">
        <v>39476960</v>
      </c>
      <c r="C68">
        <v>39477464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799</v>
      </c>
      <c r="J68" t="s">
        <v>800</v>
      </c>
      <c r="K68" t="s">
        <v>801</v>
      </c>
      <c r="L68">
        <v>1368</v>
      </c>
      <c r="N68">
        <v>1011</v>
      </c>
      <c r="O68" t="s">
        <v>802</v>
      </c>
      <c r="P68" t="s">
        <v>802</v>
      </c>
      <c r="Q68">
        <v>1</v>
      </c>
      <c r="W68">
        <v>0</v>
      </c>
      <c r="X68">
        <v>1188625873</v>
      </c>
      <c r="Y68">
        <v>1.575</v>
      </c>
      <c r="AA68">
        <v>0</v>
      </c>
      <c r="AB68">
        <v>191.62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6.13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1.05</v>
      </c>
      <c r="AU68" t="s">
        <v>53</v>
      </c>
      <c r="AV68">
        <v>0</v>
      </c>
      <c r="AW68">
        <v>2</v>
      </c>
      <c r="AX68">
        <v>39477467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Y68*Source!I40</f>
        <v>0.3024</v>
      </c>
      <c r="CY68">
        <f>AB68</f>
        <v>191.62</v>
      </c>
      <c r="CZ68">
        <f>AF68</f>
        <v>31.26</v>
      </c>
      <c r="DA68">
        <f>AJ68</f>
        <v>6.13</v>
      </c>
      <c r="DB68">
        <v>0</v>
      </c>
    </row>
    <row r="69" spans="1:106" x14ac:dyDescent="0.2">
      <c r="A69">
        <f>ROW(Source!A40)</f>
        <v>40</v>
      </c>
      <c r="B69">
        <v>39476960</v>
      </c>
      <c r="C69">
        <v>39477464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834</v>
      </c>
      <c r="J69" t="s">
        <v>835</v>
      </c>
      <c r="K69" t="s">
        <v>836</v>
      </c>
      <c r="L69">
        <v>1368</v>
      </c>
      <c r="N69">
        <v>1011</v>
      </c>
      <c r="O69" t="s">
        <v>802</v>
      </c>
      <c r="P69" t="s">
        <v>802</v>
      </c>
      <c r="Q69">
        <v>1</v>
      </c>
      <c r="W69">
        <v>0</v>
      </c>
      <c r="X69">
        <v>1372534845</v>
      </c>
      <c r="Y69">
        <v>5.3549999999999995</v>
      </c>
      <c r="AA69">
        <v>0</v>
      </c>
      <c r="AB69">
        <v>402.8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6.13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3.57</v>
      </c>
      <c r="AU69" t="s">
        <v>53</v>
      </c>
      <c r="AV69">
        <v>0</v>
      </c>
      <c r="AW69">
        <v>2</v>
      </c>
      <c r="AX69">
        <v>39477468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Y69*Source!I40</f>
        <v>1.02816</v>
      </c>
      <c r="CY69">
        <f>AB69</f>
        <v>402.8</v>
      </c>
      <c r="CZ69">
        <f>AF69</f>
        <v>65.709999999999994</v>
      </c>
      <c r="DA69">
        <f>AJ69</f>
        <v>6.13</v>
      </c>
      <c r="DB69">
        <v>0</v>
      </c>
    </row>
    <row r="70" spans="1:106" x14ac:dyDescent="0.2">
      <c r="A70">
        <f>ROW(Source!A40)</f>
        <v>40</v>
      </c>
      <c r="B70">
        <v>39476960</v>
      </c>
      <c r="C70">
        <v>39477464</v>
      </c>
      <c r="D70">
        <v>36802057</v>
      </c>
      <c r="E70">
        <v>1</v>
      </c>
      <c r="F70">
        <v>1</v>
      </c>
      <c r="G70">
        <v>1</v>
      </c>
      <c r="H70">
        <v>3</v>
      </c>
      <c r="I70" t="s">
        <v>877</v>
      </c>
      <c r="J70" t="s">
        <v>878</v>
      </c>
      <c r="K70" t="s">
        <v>879</v>
      </c>
      <c r="L70">
        <v>1301</v>
      </c>
      <c r="N70">
        <v>1003</v>
      </c>
      <c r="O70" t="s">
        <v>74</v>
      </c>
      <c r="P70" t="s">
        <v>74</v>
      </c>
      <c r="Q70">
        <v>1</v>
      </c>
      <c r="W70">
        <v>0</v>
      </c>
      <c r="X70">
        <v>751777312</v>
      </c>
      <c r="Y70">
        <v>402</v>
      </c>
      <c r="AA70">
        <v>39.11</v>
      </c>
      <c r="AB70">
        <v>0</v>
      </c>
      <c r="AC70">
        <v>0</v>
      </c>
      <c r="AD70">
        <v>0</v>
      </c>
      <c r="AE70">
        <v>6.38</v>
      </c>
      <c r="AF70">
        <v>0</v>
      </c>
      <c r="AG70">
        <v>0</v>
      </c>
      <c r="AH70">
        <v>0</v>
      </c>
      <c r="AI70">
        <v>6.13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402</v>
      </c>
      <c r="AU70" t="s">
        <v>3</v>
      </c>
      <c r="AV70">
        <v>0</v>
      </c>
      <c r="AW70">
        <v>2</v>
      </c>
      <c r="AX70">
        <v>39477469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Y70*Source!I40</f>
        <v>77.183999999999997</v>
      </c>
      <c r="CY70">
        <f t="shared" ref="CY70:CY77" si="9">AA70</f>
        <v>39.11</v>
      </c>
      <c r="CZ70">
        <f t="shared" ref="CZ70:CZ77" si="10">AE70</f>
        <v>6.38</v>
      </c>
      <c r="DA70">
        <f t="shared" ref="DA70:DA77" si="11">AI70</f>
        <v>6.13</v>
      </c>
      <c r="DB70">
        <v>0</v>
      </c>
    </row>
    <row r="71" spans="1:106" x14ac:dyDescent="0.2">
      <c r="A71">
        <f>ROW(Source!A40)</f>
        <v>40</v>
      </c>
      <c r="B71">
        <v>39476960</v>
      </c>
      <c r="C71">
        <v>39477464</v>
      </c>
      <c r="D71">
        <v>36802058</v>
      </c>
      <c r="E71">
        <v>1</v>
      </c>
      <c r="F71">
        <v>1</v>
      </c>
      <c r="G71">
        <v>1</v>
      </c>
      <c r="H71">
        <v>3</v>
      </c>
      <c r="I71" t="s">
        <v>880</v>
      </c>
      <c r="J71" t="s">
        <v>881</v>
      </c>
      <c r="K71" t="s">
        <v>882</v>
      </c>
      <c r="L71">
        <v>1301</v>
      </c>
      <c r="N71">
        <v>1003</v>
      </c>
      <c r="O71" t="s">
        <v>74</v>
      </c>
      <c r="P71" t="s">
        <v>74</v>
      </c>
      <c r="Q71">
        <v>1</v>
      </c>
      <c r="W71">
        <v>0</v>
      </c>
      <c r="X71">
        <v>1744203244</v>
      </c>
      <c r="Y71">
        <v>43</v>
      </c>
      <c r="AA71">
        <v>48.73</v>
      </c>
      <c r="AB71">
        <v>0</v>
      </c>
      <c r="AC71">
        <v>0</v>
      </c>
      <c r="AD71">
        <v>0</v>
      </c>
      <c r="AE71">
        <v>7.95</v>
      </c>
      <c r="AF71">
        <v>0</v>
      </c>
      <c r="AG71">
        <v>0</v>
      </c>
      <c r="AH71">
        <v>0</v>
      </c>
      <c r="AI71">
        <v>6.13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43</v>
      </c>
      <c r="AU71" t="s">
        <v>3</v>
      </c>
      <c r="AV71">
        <v>0</v>
      </c>
      <c r="AW71">
        <v>2</v>
      </c>
      <c r="AX71">
        <v>39477470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Y71*Source!I40</f>
        <v>8.2560000000000002</v>
      </c>
      <c r="CY71">
        <f t="shared" si="9"/>
        <v>48.73</v>
      </c>
      <c r="CZ71">
        <f t="shared" si="10"/>
        <v>7.95</v>
      </c>
      <c r="DA71">
        <f t="shared" si="11"/>
        <v>6.13</v>
      </c>
      <c r="DB71">
        <v>0</v>
      </c>
    </row>
    <row r="72" spans="1:106" x14ac:dyDescent="0.2">
      <c r="A72">
        <f>ROW(Source!A40)</f>
        <v>40</v>
      </c>
      <c r="B72">
        <v>39476960</v>
      </c>
      <c r="C72">
        <v>39477464</v>
      </c>
      <c r="D72">
        <v>36802146</v>
      </c>
      <c r="E72">
        <v>1</v>
      </c>
      <c r="F72">
        <v>1</v>
      </c>
      <c r="G72">
        <v>1</v>
      </c>
      <c r="H72">
        <v>3</v>
      </c>
      <c r="I72" t="s">
        <v>883</v>
      </c>
      <c r="J72" t="s">
        <v>884</v>
      </c>
      <c r="K72" t="s">
        <v>885</v>
      </c>
      <c r="L72">
        <v>1302</v>
      </c>
      <c r="N72">
        <v>1003</v>
      </c>
      <c r="O72" t="s">
        <v>466</v>
      </c>
      <c r="P72" t="s">
        <v>466</v>
      </c>
      <c r="Q72">
        <v>10</v>
      </c>
      <c r="W72">
        <v>0</v>
      </c>
      <c r="X72">
        <v>-405326455</v>
      </c>
      <c r="Y72">
        <v>29.3</v>
      </c>
      <c r="AA72">
        <v>392.93</v>
      </c>
      <c r="AB72">
        <v>0</v>
      </c>
      <c r="AC72">
        <v>0</v>
      </c>
      <c r="AD72">
        <v>0</v>
      </c>
      <c r="AE72">
        <v>64.099999999999994</v>
      </c>
      <c r="AF72">
        <v>0</v>
      </c>
      <c r="AG72">
        <v>0</v>
      </c>
      <c r="AH72">
        <v>0</v>
      </c>
      <c r="AI72">
        <v>6.13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29.3</v>
      </c>
      <c r="AU72" t="s">
        <v>3</v>
      </c>
      <c r="AV72">
        <v>0</v>
      </c>
      <c r="AW72">
        <v>2</v>
      </c>
      <c r="AX72">
        <v>39477471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Y72*Source!I40</f>
        <v>5.6256000000000004</v>
      </c>
      <c r="CY72">
        <f t="shared" si="9"/>
        <v>392.93</v>
      </c>
      <c r="CZ72">
        <f t="shared" si="10"/>
        <v>64.099999999999994</v>
      </c>
      <c r="DA72">
        <f t="shared" si="11"/>
        <v>6.13</v>
      </c>
      <c r="DB72">
        <v>0</v>
      </c>
    </row>
    <row r="73" spans="1:106" x14ac:dyDescent="0.2">
      <c r="A73">
        <f>ROW(Source!A40)</f>
        <v>40</v>
      </c>
      <c r="B73">
        <v>39476960</v>
      </c>
      <c r="C73">
        <v>39477464</v>
      </c>
      <c r="D73">
        <v>36804571</v>
      </c>
      <c r="E73">
        <v>1</v>
      </c>
      <c r="F73">
        <v>1</v>
      </c>
      <c r="G73">
        <v>1</v>
      </c>
      <c r="H73">
        <v>3</v>
      </c>
      <c r="I73" t="s">
        <v>886</v>
      </c>
      <c r="J73" t="s">
        <v>887</v>
      </c>
      <c r="K73" t="s">
        <v>888</v>
      </c>
      <c r="L73">
        <v>1358</v>
      </c>
      <c r="N73">
        <v>1010</v>
      </c>
      <c r="O73" t="s">
        <v>160</v>
      </c>
      <c r="P73" t="s">
        <v>160</v>
      </c>
      <c r="Q73">
        <v>10</v>
      </c>
      <c r="W73">
        <v>0</v>
      </c>
      <c r="X73">
        <v>-858120743</v>
      </c>
      <c r="Y73">
        <v>65.2</v>
      </c>
      <c r="AA73">
        <v>43.09</v>
      </c>
      <c r="AB73">
        <v>0</v>
      </c>
      <c r="AC73">
        <v>0</v>
      </c>
      <c r="AD73">
        <v>0</v>
      </c>
      <c r="AE73">
        <v>7.03</v>
      </c>
      <c r="AF73">
        <v>0</v>
      </c>
      <c r="AG73">
        <v>0</v>
      </c>
      <c r="AH73">
        <v>0</v>
      </c>
      <c r="AI73">
        <v>6.13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65.2</v>
      </c>
      <c r="AU73" t="s">
        <v>3</v>
      </c>
      <c r="AV73">
        <v>0</v>
      </c>
      <c r="AW73">
        <v>2</v>
      </c>
      <c r="AX73">
        <v>39477472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Y73*Source!I40</f>
        <v>12.518400000000002</v>
      </c>
      <c r="CY73">
        <f t="shared" si="9"/>
        <v>43.09</v>
      </c>
      <c r="CZ73">
        <f t="shared" si="10"/>
        <v>7.03</v>
      </c>
      <c r="DA73">
        <f t="shared" si="11"/>
        <v>6.13</v>
      </c>
      <c r="DB73">
        <v>0</v>
      </c>
    </row>
    <row r="74" spans="1:106" x14ac:dyDescent="0.2">
      <c r="A74">
        <f>ROW(Source!A40)</f>
        <v>40</v>
      </c>
      <c r="B74">
        <v>39476960</v>
      </c>
      <c r="C74">
        <v>39477464</v>
      </c>
      <c r="D74">
        <v>36831891</v>
      </c>
      <c r="E74">
        <v>1</v>
      </c>
      <c r="F74">
        <v>1</v>
      </c>
      <c r="G74">
        <v>1</v>
      </c>
      <c r="H74">
        <v>3</v>
      </c>
      <c r="I74" t="s">
        <v>91</v>
      </c>
      <c r="J74" t="s">
        <v>93</v>
      </c>
      <c r="K74" t="s">
        <v>92</v>
      </c>
      <c r="L74">
        <v>1327</v>
      </c>
      <c r="N74">
        <v>1005</v>
      </c>
      <c r="O74" t="s">
        <v>61</v>
      </c>
      <c r="P74" t="s">
        <v>61</v>
      </c>
      <c r="Q74">
        <v>1</v>
      </c>
      <c r="W74">
        <v>0</v>
      </c>
      <c r="X74">
        <v>-1993953072</v>
      </c>
      <c r="Y74">
        <v>100</v>
      </c>
      <c r="AA74">
        <v>9534.36</v>
      </c>
      <c r="AB74">
        <v>0</v>
      </c>
      <c r="AC74">
        <v>0</v>
      </c>
      <c r="AD74">
        <v>0</v>
      </c>
      <c r="AE74">
        <v>1555.36</v>
      </c>
      <c r="AF74">
        <v>0</v>
      </c>
      <c r="AG74">
        <v>0</v>
      </c>
      <c r="AH74">
        <v>0</v>
      </c>
      <c r="AI74">
        <v>6.13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3</v>
      </c>
      <c r="AT74">
        <v>100</v>
      </c>
      <c r="AU74" t="s">
        <v>3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Y74*Source!I40</f>
        <v>19.2</v>
      </c>
      <c r="CY74">
        <f t="shared" si="9"/>
        <v>9534.36</v>
      </c>
      <c r="CZ74">
        <f t="shared" si="10"/>
        <v>1555.36</v>
      </c>
      <c r="DA74">
        <f t="shared" si="11"/>
        <v>6.13</v>
      </c>
      <c r="DB74">
        <v>0</v>
      </c>
    </row>
    <row r="75" spans="1:106" x14ac:dyDescent="0.2">
      <c r="A75">
        <f>ROW(Source!A40)</f>
        <v>40</v>
      </c>
      <c r="B75">
        <v>39476960</v>
      </c>
      <c r="C75">
        <v>39477464</v>
      </c>
      <c r="D75">
        <v>36797011</v>
      </c>
      <c r="E75">
        <v>17</v>
      </c>
      <c r="F75">
        <v>1</v>
      </c>
      <c r="G75">
        <v>1</v>
      </c>
      <c r="H75">
        <v>3</v>
      </c>
      <c r="I75" t="s">
        <v>95</v>
      </c>
      <c r="J75" t="s">
        <v>3</v>
      </c>
      <c r="K75" t="s">
        <v>96</v>
      </c>
      <c r="L75">
        <v>1327</v>
      </c>
      <c r="N75">
        <v>1005</v>
      </c>
      <c r="O75" t="s">
        <v>61</v>
      </c>
      <c r="P75" t="s">
        <v>61</v>
      </c>
      <c r="Q75">
        <v>1</v>
      </c>
      <c r="W75">
        <v>0</v>
      </c>
      <c r="X75">
        <v>1258665497</v>
      </c>
      <c r="Y75">
        <v>100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6.13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100</v>
      </c>
      <c r="AU75" t="s">
        <v>3</v>
      </c>
      <c r="AV75">
        <v>0</v>
      </c>
      <c r="AW75">
        <v>2</v>
      </c>
      <c r="AX75">
        <v>39477473</v>
      </c>
      <c r="AY75">
        <v>1</v>
      </c>
      <c r="AZ75">
        <v>0</v>
      </c>
      <c r="BA75">
        <v>74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Y75*Source!I40</f>
        <v>19.2</v>
      </c>
      <c r="CY75">
        <f t="shared" si="9"/>
        <v>0</v>
      </c>
      <c r="CZ75">
        <f t="shared" si="10"/>
        <v>0</v>
      </c>
      <c r="DA75">
        <f t="shared" si="11"/>
        <v>6.13</v>
      </c>
      <c r="DB75">
        <v>0</v>
      </c>
    </row>
    <row r="76" spans="1:106" x14ac:dyDescent="0.2">
      <c r="A76">
        <f>ROW(Source!A40)</f>
        <v>40</v>
      </c>
      <c r="B76">
        <v>39476960</v>
      </c>
      <c r="C76">
        <v>39477464</v>
      </c>
      <c r="D76">
        <v>36832273</v>
      </c>
      <c r="E76">
        <v>1</v>
      </c>
      <c r="F76">
        <v>1</v>
      </c>
      <c r="G76">
        <v>1</v>
      </c>
      <c r="H76">
        <v>3</v>
      </c>
      <c r="I76" t="s">
        <v>889</v>
      </c>
      <c r="J76" t="s">
        <v>890</v>
      </c>
      <c r="K76" t="s">
        <v>891</v>
      </c>
      <c r="L76">
        <v>1355</v>
      </c>
      <c r="N76">
        <v>1010</v>
      </c>
      <c r="O76" t="s">
        <v>429</v>
      </c>
      <c r="P76" t="s">
        <v>429</v>
      </c>
      <c r="Q76">
        <v>100</v>
      </c>
      <c r="W76">
        <v>0</v>
      </c>
      <c r="X76">
        <v>1709713925</v>
      </c>
      <c r="Y76">
        <v>8</v>
      </c>
      <c r="AA76">
        <v>306.5</v>
      </c>
      <c r="AB76">
        <v>0</v>
      </c>
      <c r="AC76">
        <v>0</v>
      </c>
      <c r="AD76">
        <v>0</v>
      </c>
      <c r="AE76">
        <v>50</v>
      </c>
      <c r="AF76">
        <v>0</v>
      </c>
      <c r="AG76">
        <v>0</v>
      </c>
      <c r="AH76">
        <v>0</v>
      </c>
      <c r="AI76">
        <v>6.13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8</v>
      </c>
      <c r="AU76" t="s">
        <v>3</v>
      </c>
      <c r="AV76">
        <v>0</v>
      </c>
      <c r="AW76">
        <v>2</v>
      </c>
      <c r="AX76">
        <v>39477474</v>
      </c>
      <c r="AY76">
        <v>1</v>
      </c>
      <c r="AZ76">
        <v>0</v>
      </c>
      <c r="BA76">
        <v>75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Y76*Source!I40</f>
        <v>1.536</v>
      </c>
      <c r="CY76">
        <f t="shared" si="9"/>
        <v>306.5</v>
      </c>
      <c r="CZ76">
        <f t="shared" si="10"/>
        <v>50</v>
      </c>
      <c r="DA76">
        <f t="shared" si="11"/>
        <v>6.13</v>
      </c>
      <c r="DB76">
        <v>0</v>
      </c>
    </row>
    <row r="77" spans="1:106" x14ac:dyDescent="0.2">
      <c r="A77">
        <f>ROW(Source!A40)</f>
        <v>40</v>
      </c>
      <c r="B77">
        <v>39476960</v>
      </c>
      <c r="C77">
        <v>39477464</v>
      </c>
      <c r="D77">
        <v>36838722</v>
      </c>
      <c r="E77">
        <v>1</v>
      </c>
      <c r="F77">
        <v>1</v>
      </c>
      <c r="G77">
        <v>1</v>
      </c>
      <c r="H77">
        <v>3</v>
      </c>
      <c r="I77" t="s">
        <v>892</v>
      </c>
      <c r="J77" t="s">
        <v>893</v>
      </c>
      <c r="K77" t="s">
        <v>894</v>
      </c>
      <c r="L77">
        <v>1354</v>
      </c>
      <c r="N77">
        <v>1010</v>
      </c>
      <c r="O77" t="s">
        <v>415</v>
      </c>
      <c r="P77" t="s">
        <v>415</v>
      </c>
      <c r="Q77">
        <v>1</v>
      </c>
      <c r="W77">
        <v>0</v>
      </c>
      <c r="X77">
        <v>-1018551266</v>
      </c>
      <c r="Y77">
        <v>123.5</v>
      </c>
      <c r="AA77">
        <v>410.71</v>
      </c>
      <c r="AB77">
        <v>0</v>
      </c>
      <c r="AC77">
        <v>0</v>
      </c>
      <c r="AD77">
        <v>0</v>
      </c>
      <c r="AE77">
        <v>67</v>
      </c>
      <c r="AF77">
        <v>0</v>
      </c>
      <c r="AG77">
        <v>0</v>
      </c>
      <c r="AH77">
        <v>0</v>
      </c>
      <c r="AI77">
        <v>6.13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123.5</v>
      </c>
      <c r="AU77" t="s">
        <v>3</v>
      </c>
      <c r="AV77">
        <v>0</v>
      </c>
      <c r="AW77">
        <v>2</v>
      </c>
      <c r="AX77">
        <v>39477475</v>
      </c>
      <c r="AY77">
        <v>1</v>
      </c>
      <c r="AZ77">
        <v>0</v>
      </c>
      <c r="BA77">
        <v>76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Y77*Source!I40</f>
        <v>23.712</v>
      </c>
      <c r="CY77">
        <f t="shared" si="9"/>
        <v>410.71</v>
      </c>
      <c r="CZ77">
        <f t="shared" si="10"/>
        <v>67</v>
      </c>
      <c r="DA77">
        <f t="shared" si="11"/>
        <v>6.13</v>
      </c>
      <c r="DB77">
        <v>0</v>
      </c>
    </row>
    <row r="78" spans="1:106" x14ac:dyDescent="0.2">
      <c r="A78">
        <f>ROW(Source!A43)</f>
        <v>43</v>
      </c>
      <c r="B78">
        <v>39476960</v>
      </c>
      <c r="C78">
        <v>39477477</v>
      </c>
      <c r="D78">
        <v>37066717</v>
      </c>
      <c r="E78">
        <v>1</v>
      </c>
      <c r="F78">
        <v>1</v>
      </c>
      <c r="G78">
        <v>1</v>
      </c>
      <c r="H78">
        <v>1</v>
      </c>
      <c r="I78" t="s">
        <v>909</v>
      </c>
      <c r="J78" t="s">
        <v>3</v>
      </c>
      <c r="K78" t="s">
        <v>910</v>
      </c>
      <c r="L78">
        <v>1191</v>
      </c>
      <c r="N78">
        <v>1013</v>
      </c>
      <c r="O78" t="s">
        <v>796</v>
      </c>
      <c r="P78" t="s">
        <v>796</v>
      </c>
      <c r="Q78">
        <v>1</v>
      </c>
      <c r="W78">
        <v>0</v>
      </c>
      <c r="X78">
        <v>-509590494</v>
      </c>
      <c r="Y78">
        <v>10.791600000000001</v>
      </c>
      <c r="AA78">
        <v>0</v>
      </c>
      <c r="AB78">
        <v>0</v>
      </c>
      <c r="AC78">
        <v>0</v>
      </c>
      <c r="AD78">
        <v>50.08</v>
      </c>
      <c r="AE78">
        <v>0</v>
      </c>
      <c r="AF78">
        <v>0</v>
      </c>
      <c r="AG78">
        <v>0</v>
      </c>
      <c r="AH78">
        <v>8.17</v>
      </c>
      <c r="AI78">
        <v>1</v>
      </c>
      <c r="AJ78">
        <v>1</v>
      </c>
      <c r="AK78">
        <v>1</v>
      </c>
      <c r="AL78">
        <v>6.13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7.82</v>
      </c>
      <c r="AU78" t="s">
        <v>54</v>
      </c>
      <c r="AV78">
        <v>1</v>
      </c>
      <c r="AW78">
        <v>2</v>
      </c>
      <c r="AX78">
        <v>39477478</v>
      </c>
      <c r="AY78">
        <v>1</v>
      </c>
      <c r="AZ78">
        <v>0</v>
      </c>
      <c r="BA78">
        <v>77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Y78*Source!I43</f>
        <v>18.993216</v>
      </c>
      <c r="CY78">
        <f>AD78</f>
        <v>50.08</v>
      </c>
      <c r="CZ78">
        <f>AH78</f>
        <v>8.17</v>
      </c>
      <c r="DA78">
        <f>AL78</f>
        <v>6.13</v>
      </c>
      <c r="DB78">
        <v>0</v>
      </c>
    </row>
    <row r="79" spans="1:106" x14ac:dyDescent="0.2">
      <c r="A79">
        <f>ROW(Source!A43)</f>
        <v>43</v>
      </c>
      <c r="B79">
        <v>39476960</v>
      </c>
      <c r="C79">
        <v>39477477</v>
      </c>
      <c r="D79">
        <v>37064876</v>
      </c>
      <c r="E79">
        <v>1</v>
      </c>
      <c r="F79">
        <v>1</v>
      </c>
      <c r="G79">
        <v>1</v>
      </c>
      <c r="H79">
        <v>1</v>
      </c>
      <c r="I79" t="s">
        <v>797</v>
      </c>
      <c r="J79" t="s">
        <v>3</v>
      </c>
      <c r="K79" t="s">
        <v>798</v>
      </c>
      <c r="L79">
        <v>1191</v>
      </c>
      <c r="N79">
        <v>1013</v>
      </c>
      <c r="O79" t="s">
        <v>796</v>
      </c>
      <c r="P79" t="s">
        <v>796</v>
      </c>
      <c r="Q79">
        <v>1</v>
      </c>
      <c r="W79">
        <v>0</v>
      </c>
      <c r="X79">
        <v>-1417349443</v>
      </c>
      <c r="Y79">
        <v>0.04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6.13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0.04</v>
      </c>
      <c r="AU79" t="s">
        <v>3</v>
      </c>
      <c r="AV79">
        <v>2</v>
      </c>
      <c r="AW79">
        <v>2</v>
      </c>
      <c r="AX79">
        <v>39477479</v>
      </c>
      <c r="AY79">
        <v>1</v>
      </c>
      <c r="AZ79">
        <v>2048</v>
      </c>
      <c r="BA79">
        <v>78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Y79*Source!I43</f>
        <v>7.0400000000000004E-2</v>
      </c>
      <c r="CY79">
        <f>AD79</f>
        <v>0</v>
      </c>
      <c r="CZ79">
        <f>AH79</f>
        <v>0</v>
      </c>
      <c r="DA79">
        <f>AL79</f>
        <v>1</v>
      </c>
      <c r="DB79">
        <v>0</v>
      </c>
    </row>
    <row r="80" spans="1:106" x14ac:dyDescent="0.2">
      <c r="A80">
        <f>ROW(Source!A43)</f>
        <v>43</v>
      </c>
      <c r="B80">
        <v>39476960</v>
      </c>
      <c r="C80">
        <v>39477477</v>
      </c>
      <c r="D80">
        <v>36883554</v>
      </c>
      <c r="E80">
        <v>1</v>
      </c>
      <c r="F80">
        <v>1</v>
      </c>
      <c r="G80">
        <v>1</v>
      </c>
      <c r="H80">
        <v>2</v>
      </c>
      <c r="I80" t="s">
        <v>834</v>
      </c>
      <c r="J80" t="s">
        <v>835</v>
      </c>
      <c r="K80" t="s">
        <v>836</v>
      </c>
      <c r="L80">
        <v>1368</v>
      </c>
      <c r="N80">
        <v>1011</v>
      </c>
      <c r="O80" t="s">
        <v>802</v>
      </c>
      <c r="P80" t="s">
        <v>802</v>
      </c>
      <c r="Q80">
        <v>1</v>
      </c>
      <c r="W80">
        <v>0</v>
      </c>
      <c r="X80">
        <v>1372534845</v>
      </c>
      <c r="Y80">
        <v>0.06</v>
      </c>
      <c r="AA80">
        <v>0</v>
      </c>
      <c r="AB80">
        <v>402.8</v>
      </c>
      <c r="AC80">
        <v>11.6</v>
      </c>
      <c r="AD80">
        <v>0</v>
      </c>
      <c r="AE80">
        <v>0</v>
      </c>
      <c r="AF80">
        <v>65.709999999999994</v>
      </c>
      <c r="AG80">
        <v>11.6</v>
      </c>
      <c r="AH80">
        <v>0</v>
      </c>
      <c r="AI80">
        <v>1</v>
      </c>
      <c r="AJ80">
        <v>6.13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0.04</v>
      </c>
      <c r="AU80" t="s">
        <v>53</v>
      </c>
      <c r="AV80">
        <v>0</v>
      </c>
      <c r="AW80">
        <v>2</v>
      </c>
      <c r="AX80">
        <v>39477480</v>
      </c>
      <c r="AY80">
        <v>1</v>
      </c>
      <c r="AZ80">
        <v>0</v>
      </c>
      <c r="BA80">
        <v>79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Y80*Source!I43</f>
        <v>0.1056</v>
      </c>
      <c r="CY80">
        <f>AB80</f>
        <v>402.8</v>
      </c>
      <c r="CZ80">
        <f>AF80</f>
        <v>65.709999999999994</v>
      </c>
      <c r="DA80">
        <f>AJ80</f>
        <v>6.13</v>
      </c>
      <c r="DB80">
        <v>0</v>
      </c>
    </row>
    <row r="81" spans="1:106" x14ac:dyDescent="0.2">
      <c r="A81">
        <f>ROW(Source!A43)</f>
        <v>43</v>
      </c>
      <c r="B81">
        <v>39476960</v>
      </c>
      <c r="C81">
        <v>39477477</v>
      </c>
      <c r="D81">
        <v>36804545</v>
      </c>
      <c r="E81">
        <v>1</v>
      </c>
      <c r="F81">
        <v>1</v>
      </c>
      <c r="G81">
        <v>1</v>
      </c>
      <c r="H81">
        <v>3</v>
      </c>
      <c r="I81" t="s">
        <v>846</v>
      </c>
      <c r="J81" t="s">
        <v>847</v>
      </c>
      <c r="K81" t="s">
        <v>848</v>
      </c>
      <c r="L81">
        <v>1348</v>
      </c>
      <c r="N81">
        <v>1009</v>
      </c>
      <c r="O81" t="s">
        <v>34</v>
      </c>
      <c r="P81" t="s">
        <v>34</v>
      </c>
      <c r="Q81">
        <v>1000</v>
      </c>
      <c r="W81">
        <v>0</v>
      </c>
      <c r="X81">
        <v>1174701286</v>
      </c>
      <c r="Y81">
        <v>7.1000000000000002E-4</v>
      </c>
      <c r="AA81">
        <v>73425.14</v>
      </c>
      <c r="AB81">
        <v>0</v>
      </c>
      <c r="AC81">
        <v>0</v>
      </c>
      <c r="AD81">
        <v>0</v>
      </c>
      <c r="AE81">
        <v>11978</v>
      </c>
      <c r="AF81">
        <v>0</v>
      </c>
      <c r="AG81">
        <v>0</v>
      </c>
      <c r="AH81">
        <v>0</v>
      </c>
      <c r="AI81">
        <v>6.13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7.1000000000000002E-4</v>
      </c>
      <c r="AU81" t="s">
        <v>3</v>
      </c>
      <c r="AV81">
        <v>0</v>
      </c>
      <c r="AW81">
        <v>2</v>
      </c>
      <c r="AX81">
        <v>39477481</v>
      </c>
      <c r="AY81">
        <v>1</v>
      </c>
      <c r="AZ81">
        <v>0</v>
      </c>
      <c r="BA81">
        <v>80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1.2496E-3</v>
      </c>
      <c r="CY81">
        <f>AA81</f>
        <v>73425.14</v>
      </c>
      <c r="CZ81">
        <f>AE81</f>
        <v>11978</v>
      </c>
      <c r="DA81">
        <f>AI81</f>
        <v>6.13</v>
      </c>
      <c r="DB81">
        <v>0</v>
      </c>
    </row>
    <row r="82" spans="1:106" x14ac:dyDescent="0.2">
      <c r="A82">
        <f>ROW(Source!A43)</f>
        <v>43</v>
      </c>
      <c r="B82">
        <v>39476960</v>
      </c>
      <c r="C82">
        <v>39477477</v>
      </c>
      <c r="D82">
        <v>36796692</v>
      </c>
      <c r="E82">
        <v>17</v>
      </c>
      <c r="F82">
        <v>1</v>
      </c>
      <c r="G82">
        <v>1</v>
      </c>
      <c r="H82">
        <v>3</v>
      </c>
      <c r="I82" t="s">
        <v>106</v>
      </c>
      <c r="J82" t="s">
        <v>3</v>
      </c>
      <c r="K82" t="s">
        <v>107</v>
      </c>
      <c r="L82">
        <v>1301</v>
      </c>
      <c r="N82">
        <v>1003</v>
      </c>
      <c r="O82" t="s">
        <v>74</v>
      </c>
      <c r="P82" t="s">
        <v>74</v>
      </c>
      <c r="Q82">
        <v>1</v>
      </c>
      <c r="W82">
        <v>0</v>
      </c>
      <c r="X82">
        <v>1542502361</v>
      </c>
      <c r="Y82">
        <v>112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6.13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112</v>
      </c>
      <c r="AU82" t="s">
        <v>3</v>
      </c>
      <c r="AV82">
        <v>0</v>
      </c>
      <c r="AW82">
        <v>2</v>
      </c>
      <c r="AX82">
        <v>39477482</v>
      </c>
      <c r="AY82">
        <v>1</v>
      </c>
      <c r="AZ82">
        <v>0</v>
      </c>
      <c r="BA82">
        <v>81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197.12</v>
      </c>
      <c r="CY82">
        <f>AA82</f>
        <v>0</v>
      </c>
      <c r="CZ82">
        <f>AE82</f>
        <v>0</v>
      </c>
      <c r="DA82">
        <f>AI82</f>
        <v>6.13</v>
      </c>
      <c r="DB82">
        <v>0</v>
      </c>
    </row>
    <row r="83" spans="1:106" x14ac:dyDescent="0.2">
      <c r="A83">
        <f>ROW(Source!A43)</f>
        <v>43</v>
      </c>
      <c r="B83">
        <v>39476960</v>
      </c>
      <c r="C83">
        <v>39477477</v>
      </c>
      <c r="D83">
        <v>36832130</v>
      </c>
      <c r="E83">
        <v>1</v>
      </c>
      <c r="F83">
        <v>1</v>
      </c>
      <c r="G83">
        <v>1</v>
      </c>
      <c r="H83">
        <v>3</v>
      </c>
      <c r="I83" t="s">
        <v>102</v>
      </c>
      <c r="J83" t="s">
        <v>104</v>
      </c>
      <c r="K83" t="s">
        <v>103</v>
      </c>
      <c r="L83">
        <v>1301</v>
      </c>
      <c r="N83">
        <v>1003</v>
      </c>
      <c r="O83" t="s">
        <v>74</v>
      </c>
      <c r="P83" t="s">
        <v>74</v>
      </c>
      <c r="Q83">
        <v>1</v>
      </c>
      <c r="W83">
        <v>0</v>
      </c>
      <c r="X83">
        <v>1235396721</v>
      </c>
      <c r="Y83">
        <v>112</v>
      </c>
      <c r="AA83">
        <v>204.62</v>
      </c>
      <c r="AB83">
        <v>0</v>
      </c>
      <c r="AC83">
        <v>0</v>
      </c>
      <c r="AD83">
        <v>0</v>
      </c>
      <c r="AE83">
        <v>33.380000000000003</v>
      </c>
      <c r="AF83">
        <v>0</v>
      </c>
      <c r="AG83">
        <v>0</v>
      </c>
      <c r="AH83">
        <v>0</v>
      </c>
      <c r="AI83">
        <v>6.13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3</v>
      </c>
      <c r="AT83">
        <v>112</v>
      </c>
      <c r="AU83" t="s">
        <v>3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Y83*Source!I43</f>
        <v>197.12</v>
      </c>
      <c r="CY83">
        <f>AA83</f>
        <v>204.62</v>
      </c>
      <c r="CZ83">
        <f>AE83</f>
        <v>33.380000000000003</v>
      </c>
      <c r="DA83">
        <f>AI83</f>
        <v>6.13</v>
      </c>
      <c r="DB83">
        <v>0</v>
      </c>
    </row>
    <row r="84" spans="1:106" x14ac:dyDescent="0.2">
      <c r="A84">
        <f>ROW(Source!A46)</f>
        <v>46</v>
      </c>
      <c r="B84">
        <v>39476960</v>
      </c>
      <c r="C84">
        <v>39477484</v>
      </c>
      <c r="D84">
        <v>37064928</v>
      </c>
      <c r="E84">
        <v>1</v>
      </c>
      <c r="F84">
        <v>1</v>
      </c>
      <c r="G84">
        <v>1</v>
      </c>
      <c r="H84">
        <v>1</v>
      </c>
      <c r="I84" t="s">
        <v>911</v>
      </c>
      <c r="J84" t="s">
        <v>3</v>
      </c>
      <c r="K84" t="s">
        <v>912</v>
      </c>
      <c r="L84">
        <v>1191</v>
      </c>
      <c r="N84">
        <v>1013</v>
      </c>
      <c r="O84" t="s">
        <v>796</v>
      </c>
      <c r="P84" t="s">
        <v>796</v>
      </c>
      <c r="Q84">
        <v>1</v>
      </c>
      <c r="W84">
        <v>0</v>
      </c>
      <c r="X84">
        <v>145020957</v>
      </c>
      <c r="Y84">
        <v>437.72219999999993</v>
      </c>
      <c r="AA84">
        <v>0</v>
      </c>
      <c r="AB84">
        <v>0</v>
      </c>
      <c r="AC84">
        <v>0</v>
      </c>
      <c r="AD84">
        <v>55.6</v>
      </c>
      <c r="AE84">
        <v>0</v>
      </c>
      <c r="AF84">
        <v>0</v>
      </c>
      <c r="AG84">
        <v>0</v>
      </c>
      <c r="AH84">
        <v>9.07</v>
      </c>
      <c r="AI84">
        <v>1</v>
      </c>
      <c r="AJ84">
        <v>1</v>
      </c>
      <c r="AK84">
        <v>1</v>
      </c>
      <c r="AL84">
        <v>6.13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317.19</v>
      </c>
      <c r="AU84" t="s">
        <v>54</v>
      </c>
      <c r="AV84">
        <v>1</v>
      </c>
      <c r="AW84">
        <v>2</v>
      </c>
      <c r="AX84">
        <v>39477485</v>
      </c>
      <c r="AY84">
        <v>1</v>
      </c>
      <c r="AZ84">
        <v>0</v>
      </c>
      <c r="BA84">
        <v>82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Y84*Source!I46</f>
        <v>335.29520519999994</v>
      </c>
      <c r="CY84">
        <f>AD84</f>
        <v>55.6</v>
      </c>
      <c r="CZ84">
        <f>AH84</f>
        <v>9.07</v>
      </c>
      <c r="DA84">
        <f>AL84</f>
        <v>6.13</v>
      </c>
      <c r="DB84">
        <v>0</v>
      </c>
    </row>
    <row r="85" spans="1:106" x14ac:dyDescent="0.2">
      <c r="A85">
        <f>ROW(Source!A46)</f>
        <v>46</v>
      </c>
      <c r="B85">
        <v>39476960</v>
      </c>
      <c r="C85">
        <v>39477484</v>
      </c>
      <c r="D85">
        <v>37064876</v>
      </c>
      <c r="E85">
        <v>1</v>
      </c>
      <c r="F85">
        <v>1</v>
      </c>
      <c r="G85">
        <v>1</v>
      </c>
      <c r="H85">
        <v>1</v>
      </c>
      <c r="I85" t="s">
        <v>797</v>
      </c>
      <c r="J85" t="s">
        <v>3</v>
      </c>
      <c r="K85" t="s">
        <v>798</v>
      </c>
      <c r="L85">
        <v>1191</v>
      </c>
      <c r="N85">
        <v>1013</v>
      </c>
      <c r="O85" t="s">
        <v>796</v>
      </c>
      <c r="P85" t="s">
        <v>796</v>
      </c>
      <c r="Q85">
        <v>1</v>
      </c>
      <c r="W85">
        <v>0</v>
      </c>
      <c r="X85">
        <v>-1417349443</v>
      </c>
      <c r="Y85">
        <v>2.2599999999999998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6.13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2.2599999999999998</v>
      </c>
      <c r="AU85" t="s">
        <v>3</v>
      </c>
      <c r="AV85">
        <v>2</v>
      </c>
      <c r="AW85">
        <v>2</v>
      </c>
      <c r="AX85">
        <v>39477486</v>
      </c>
      <c r="AY85">
        <v>1</v>
      </c>
      <c r="AZ85">
        <v>2048</v>
      </c>
      <c r="BA85">
        <v>83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Y85*Source!I46</f>
        <v>1.7311599999999998</v>
      </c>
      <c r="CY85">
        <f>AD85</f>
        <v>0</v>
      </c>
      <c r="CZ85">
        <f>AH85</f>
        <v>0</v>
      </c>
      <c r="DA85">
        <f>AL85</f>
        <v>1</v>
      </c>
      <c r="DB85">
        <v>0</v>
      </c>
    </row>
    <row r="86" spans="1:106" x14ac:dyDescent="0.2">
      <c r="A86">
        <f>ROW(Source!A46)</f>
        <v>46</v>
      </c>
      <c r="B86">
        <v>39476960</v>
      </c>
      <c r="C86">
        <v>39477484</v>
      </c>
      <c r="D86">
        <v>36882159</v>
      </c>
      <c r="E86">
        <v>1</v>
      </c>
      <c r="F86">
        <v>1</v>
      </c>
      <c r="G86">
        <v>1</v>
      </c>
      <c r="H86">
        <v>2</v>
      </c>
      <c r="I86" t="s">
        <v>825</v>
      </c>
      <c r="J86" t="s">
        <v>826</v>
      </c>
      <c r="K86" t="s">
        <v>827</v>
      </c>
      <c r="L86">
        <v>1368</v>
      </c>
      <c r="N86">
        <v>1011</v>
      </c>
      <c r="O86" t="s">
        <v>802</v>
      </c>
      <c r="P86" t="s">
        <v>802</v>
      </c>
      <c r="Q86">
        <v>1</v>
      </c>
      <c r="W86">
        <v>0</v>
      </c>
      <c r="X86">
        <v>-1718674368</v>
      </c>
      <c r="Y86">
        <v>1.3499999999999999</v>
      </c>
      <c r="AA86">
        <v>0</v>
      </c>
      <c r="AB86">
        <v>686.5</v>
      </c>
      <c r="AC86">
        <v>13.5</v>
      </c>
      <c r="AD86">
        <v>0</v>
      </c>
      <c r="AE86">
        <v>0</v>
      </c>
      <c r="AF86">
        <v>111.99</v>
      </c>
      <c r="AG86">
        <v>13.5</v>
      </c>
      <c r="AH86">
        <v>0</v>
      </c>
      <c r="AI86">
        <v>1</v>
      </c>
      <c r="AJ86">
        <v>6.13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0.9</v>
      </c>
      <c r="AU86" t="s">
        <v>53</v>
      </c>
      <c r="AV86">
        <v>0</v>
      </c>
      <c r="AW86">
        <v>2</v>
      </c>
      <c r="AX86">
        <v>39477487</v>
      </c>
      <c r="AY86">
        <v>1</v>
      </c>
      <c r="AZ86">
        <v>0</v>
      </c>
      <c r="BA86">
        <v>84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Y86*Source!I46</f>
        <v>1.0341</v>
      </c>
      <c r="CY86">
        <f>AB86</f>
        <v>686.5</v>
      </c>
      <c r="CZ86">
        <f>AF86</f>
        <v>111.99</v>
      </c>
      <c r="DA86">
        <f>AJ86</f>
        <v>6.13</v>
      </c>
      <c r="DB86">
        <v>0</v>
      </c>
    </row>
    <row r="87" spans="1:106" x14ac:dyDescent="0.2">
      <c r="A87">
        <f>ROW(Source!A46)</f>
        <v>46</v>
      </c>
      <c r="B87">
        <v>39476960</v>
      </c>
      <c r="C87">
        <v>39477484</v>
      </c>
      <c r="D87">
        <v>36883554</v>
      </c>
      <c r="E87">
        <v>1</v>
      </c>
      <c r="F87">
        <v>1</v>
      </c>
      <c r="G87">
        <v>1</v>
      </c>
      <c r="H87">
        <v>2</v>
      </c>
      <c r="I87" t="s">
        <v>834</v>
      </c>
      <c r="J87" t="s">
        <v>835</v>
      </c>
      <c r="K87" t="s">
        <v>836</v>
      </c>
      <c r="L87">
        <v>1368</v>
      </c>
      <c r="N87">
        <v>1011</v>
      </c>
      <c r="O87" t="s">
        <v>802</v>
      </c>
      <c r="P87" t="s">
        <v>802</v>
      </c>
      <c r="Q87">
        <v>1</v>
      </c>
      <c r="W87">
        <v>0</v>
      </c>
      <c r="X87">
        <v>1372534845</v>
      </c>
      <c r="Y87">
        <v>2.04</v>
      </c>
      <c r="AA87">
        <v>0</v>
      </c>
      <c r="AB87">
        <v>402.8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6.13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1.36</v>
      </c>
      <c r="AU87" t="s">
        <v>53</v>
      </c>
      <c r="AV87">
        <v>0</v>
      </c>
      <c r="AW87">
        <v>2</v>
      </c>
      <c r="AX87">
        <v>39477488</v>
      </c>
      <c r="AY87">
        <v>1</v>
      </c>
      <c r="AZ87">
        <v>0</v>
      </c>
      <c r="BA87">
        <v>85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Y87*Source!I46</f>
        <v>1.56264</v>
      </c>
      <c r="CY87">
        <f>AB87</f>
        <v>402.8</v>
      </c>
      <c r="CZ87">
        <f>AF87</f>
        <v>65.709999999999994</v>
      </c>
      <c r="DA87">
        <f>AJ87</f>
        <v>6.13</v>
      </c>
      <c r="DB87">
        <v>0</v>
      </c>
    </row>
    <row r="88" spans="1:106" x14ac:dyDescent="0.2">
      <c r="A88">
        <f>ROW(Source!A46)</f>
        <v>46</v>
      </c>
      <c r="B88">
        <v>39476960</v>
      </c>
      <c r="C88">
        <v>39477484</v>
      </c>
      <c r="D88">
        <v>36797095</v>
      </c>
      <c r="E88">
        <v>17</v>
      </c>
      <c r="F88">
        <v>1</v>
      </c>
      <c r="G88">
        <v>1</v>
      </c>
      <c r="H88">
        <v>3</v>
      </c>
      <c r="I88" t="s">
        <v>117</v>
      </c>
      <c r="J88" t="s">
        <v>3</v>
      </c>
      <c r="K88" t="s">
        <v>118</v>
      </c>
      <c r="L88">
        <v>1327</v>
      </c>
      <c r="N88">
        <v>1005</v>
      </c>
      <c r="O88" t="s">
        <v>61</v>
      </c>
      <c r="P88" t="s">
        <v>61</v>
      </c>
      <c r="Q88">
        <v>1</v>
      </c>
      <c r="W88">
        <v>0</v>
      </c>
      <c r="X88">
        <v>-354280000</v>
      </c>
      <c r="Y88">
        <v>420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6.13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420</v>
      </c>
      <c r="AU88" t="s">
        <v>3</v>
      </c>
      <c r="AV88">
        <v>0</v>
      </c>
      <c r="AW88">
        <v>2</v>
      </c>
      <c r="AX88">
        <v>39477489</v>
      </c>
      <c r="AY88">
        <v>1</v>
      </c>
      <c r="AZ88">
        <v>0</v>
      </c>
      <c r="BA88">
        <v>86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Y88*Source!I46</f>
        <v>321.72000000000003</v>
      </c>
      <c r="CY88">
        <f t="shared" ref="CY88:CY101" si="12">AA88</f>
        <v>0</v>
      </c>
      <c r="CZ88">
        <f t="shared" ref="CZ88:CZ101" si="13">AE88</f>
        <v>0</v>
      </c>
      <c r="DA88">
        <f t="shared" ref="DA88:DA101" si="14">AI88</f>
        <v>6.13</v>
      </c>
      <c r="DB88">
        <v>0</v>
      </c>
    </row>
    <row r="89" spans="1:106" x14ac:dyDescent="0.2">
      <c r="A89">
        <f>ROW(Source!A46)</f>
        <v>46</v>
      </c>
      <c r="B89">
        <v>39476960</v>
      </c>
      <c r="C89">
        <v>39477484</v>
      </c>
      <c r="D89">
        <v>36801319</v>
      </c>
      <c r="E89">
        <v>1</v>
      </c>
      <c r="F89">
        <v>1</v>
      </c>
      <c r="G89">
        <v>1</v>
      </c>
      <c r="H89">
        <v>3</v>
      </c>
      <c r="I89" t="s">
        <v>113</v>
      </c>
      <c r="J89" t="s">
        <v>115</v>
      </c>
      <c r="K89" t="s">
        <v>114</v>
      </c>
      <c r="L89">
        <v>1327</v>
      </c>
      <c r="N89">
        <v>1005</v>
      </c>
      <c r="O89" t="s">
        <v>61</v>
      </c>
      <c r="P89" t="s">
        <v>61</v>
      </c>
      <c r="Q89">
        <v>1</v>
      </c>
      <c r="W89">
        <v>0</v>
      </c>
      <c r="X89">
        <v>-649753887</v>
      </c>
      <c r="Y89">
        <v>420</v>
      </c>
      <c r="AA89">
        <v>90.72</v>
      </c>
      <c r="AB89">
        <v>0</v>
      </c>
      <c r="AC89">
        <v>0</v>
      </c>
      <c r="AD89">
        <v>0</v>
      </c>
      <c r="AE89">
        <v>14.8</v>
      </c>
      <c r="AF89">
        <v>0</v>
      </c>
      <c r="AG89">
        <v>0</v>
      </c>
      <c r="AH89">
        <v>0</v>
      </c>
      <c r="AI89">
        <v>6.13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420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Y89*Source!I46</f>
        <v>321.72000000000003</v>
      </c>
      <c r="CY89">
        <f t="shared" si="12"/>
        <v>90.72</v>
      </c>
      <c r="CZ89">
        <f t="shared" si="13"/>
        <v>14.8</v>
      </c>
      <c r="DA89">
        <f t="shared" si="14"/>
        <v>6.13</v>
      </c>
      <c r="DB89">
        <v>0</v>
      </c>
    </row>
    <row r="90" spans="1:106" x14ac:dyDescent="0.2">
      <c r="A90">
        <f>ROW(Source!A46)</f>
        <v>46</v>
      </c>
      <c r="B90">
        <v>39476960</v>
      </c>
      <c r="C90">
        <v>39477484</v>
      </c>
      <c r="D90">
        <v>36802225</v>
      </c>
      <c r="E90">
        <v>1</v>
      </c>
      <c r="F90">
        <v>1</v>
      </c>
      <c r="G90">
        <v>1</v>
      </c>
      <c r="H90">
        <v>3</v>
      </c>
      <c r="I90" t="s">
        <v>913</v>
      </c>
      <c r="J90" t="s">
        <v>914</v>
      </c>
      <c r="K90" t="s">
        <v>915</v>
      </c>
      <c r="L90">
        <v>1346</v>
      </c>
      <c r="N90">
        <v>1009</v>
      </c>
      <c r="O90" t="s">
        <v>217</v>
      </c>
      <c r="P90" t="s">
        <v>217</v>
      </c>
      <c r="Q90">
        <v>1</v>
      </c>
      <c r="W90">
        <v>0</v>
      </c>
      <c r="X90">
        <v>-1575546811</v>
      </c>
      <c r="Y90">
        <v>10</v>
      </c>
      <c r="AA90">
        <v>101.76</v>
      </c>
      <c r="AB90">
        <v>0</v>
      </c>
      <c r="AC90">
        <v>0</v>
      </c>
      <c r="AD90">
        <v>0</v>
      </c>
      <c r="AE90">
        <v>16.600000000000001</v>
      </c>
      <c r="AF90">
        <v>0</v>
      </c>
      <c r="AG90">
        <v>0</v>
      </c>
      <c r="AH90">
        <v>0</v>
      </c>
      <c r="AI90">
        <v>6.13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10</v>
      </c>
      <c r="AU90" t="s">
        <v>3</v>
      </c>
      <c r="AV90">
        <v>0</v>
      </c>
      <c r="AW90">
        <v>2</v>
      </c>
      <c r="AX90">
        <v>39477490</v>
      </c>
      <c r="AY90">
        <v>1</v>
      </c>
      <c r="AZ90">
        <v>0</v>
      </c>
      <c r="BA90">
        <v>87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Y90*Source!I46</f>
        <v>7.66</v>
      </c>
      <c r="CY90">
        <f t="shared" si="12"/>
        <v>101.76</v>
      </c>
      <c r="CZ90">
        <f t="shared" si="13"/>
        <v>16.600000000000001</v>
      </c>
      <c r="DA90">
        <f t="shared" si="14"/>
        <v>6.13</v>
      </c>
      <c r="DB90">
        <v>0</v>
      </c>
    </row>
    <row r="91" spans="1:106" x14ac:dyDescent="0.2">
      <c r="A91">
        <f>ROW(Source!A46)</f>
        <v>46</v>
      </c>
      <c r="B91">
        <v>39476960</v>
      </c>
      <c r="C91">
        <v>39477484</v>
      </c>
      <c r="D91">
        <v>36802293</v>
      </c>
      <c r="E91">
        <v>1</v>
      </c>
      <c r="F91">
        <v>1</v>
      </c>
      <c r="G91">
        <v>1</v>
      </c>
      <c r="H91">
        <v>3</v>
      </c>
      <c r="I91" t="s">
        <v>916</v>
      </c>
      <c r="J91" t="s">
        <v>917</v>
      </c>
      <c r="K91" t="s">
        <v>918</v>
      </c>
      <c r="L91">
        <v>1356</v>
      </c>
      <c r="N91">
        <v>1010</v>
      </c>
      <c r="O91" t="s">
        <v>259</v>
      </c>
      <c r="P91" t="s">
        <v>259</v>
      </c>
      <c r="Q91">
        <v>1000</v>
      </c>
      <c r="W91">
        <v>0</v>
      </c>
      <c r="X91">
        <v>72387144</v>
      </c>
      <c r="Y91">
        <v>0.14000000000000001</v>
      </c>
      <c r="AA91">
        <v>1555.79</v>
      </c>
      <c r="AB91">
        <v>0</v>
      </c>
      <c r="AC91">
        <v>0</v>
      </c>
      <c r="AD91">
        <v>0</v>
      </c>
      <c r="AE91">
        <v>253.8</v>
      </c>
      <c r="AF91">
        <v>0</v>
      </c>
      <c r="AG91">
        <v>0</v>
      </c>
      <c r="AH91">
        <v>0</v>
      </c>
      <c r="AI91">
        <v>6.13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0.14000000000000001</v>
      </c>
      <c r="AU91" t="s">
        <v>3</v>
      </c>
      <c r="AV91">
        <v>0</v>
      </c>
      <c r="AW91">
        <v>2</v>
      </c>
      <c r="AX91">
        <v>39477491</v>
      </c>
      <c r="AY91">
        <v>1</v>
      </c>
      <c r="AZ91">
        <v>0</v>
      </c>
      <c r="BA91">
        <v>88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Y91*Source!I46</f>
        <v>0.10724000000000002</v>
      </c>
      <c r="CY91">
        <f t="shared" si="12"/>
        <v>1555.79</v>
      </c>
      <c r="CZ91">
        <f t="shared" si="13"/>
        <v>253.8</v>
      </c>
      <c r="DA91">
        <f t="shared" si="14"/>
        <v>6.13</v>
      </c>
      <c r="DB91">
        <v>0</v>
      </c>
    </row>
    <row r="92" spans="1:106" x14ac:dyDescent="0.2">
      <c r="A92">
        <f>ROW(Source!A46)</f>
        <v>46</v>
      </c>
      <c r="B92">
        <v>39476960</v>
      </c>
      <c r="C92">
        <v>39477484</v>
      </c>
      <c r="D92">
        <v>36804488</v>
      </c>
      <c r="E92">
        <v>1</v>
      </c>
      <c r="F92">
        <v>1</v>
      </c>
      <c r="G92">
        <v>1</v>
      </c>
      <c r="H92">
        <v>3</v>
      </c>
      <c r="I92" t="s">
        <v>919</v>
      </c>
      <c r="J92" t="s">
        <v>920</v>
      </c>
      <c r="K92" t="s">
        <v>921</v>
      </c>
      <c r="L92">
        <v>1348</v>
      </c>
      <c r="N92">
        <v>1009</v>
      </c>
      <c r="O92" t="s">
        <v>34</v>
      </c>
      <c r="P92" t="s">
        <v>34</v>
      </c>
      <c r="Q92">
        <v>1000</v>
      </c>
      <c r="W92">
        <v>0</v>
      </c>
      <c r="X92">
        <v>-1106145302</v>
      </c>
      <c r="Y92">
        <v>8.8999999999999999E-3</v>
      </c>
      <c r="AA92">
        <v>214617.43</v>
      </c>
      <c r="AB92">
        <v>0</v>
      </c>
      <c r="AC92">
        <v>0</v>
      </c>
      <c r="AD92">
        <v>0</v>
      </c>
      <c r="AE92">
        <v>35011</v>
      </c>
      <c r="AF92">
        <v>0</v>
      </c>
      <c r="AG92">
        <v>0</v>
      </c>
      <c r="AH92">
        <v>0</v>
      </c>
      <c r="AI92">
        <v>6.13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8.8999999999999999E-3</v>
      </c>
      <c r="AU92" t="s">
        <v>3</v>
      </c>
      <c r="AV92">
        <v>0</v>
      </c>
      <c r="AW92">
        <v>2</v>
      </c>
      <c r="AX92">
        <v>39477492</v>
      </c>
      <c r="AY92">
        <v>1</v>
      </c>
      <c r="AZ92">
        <v>0</v>
      </c>
      <c r="BA92">
        <v>89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Y92*Source!I46</f>
        <v>6.8174000000000004E-3</v>
      </c>
      <c r="CY92">
        <f t="shared" si="12"/>
        <v>214617.43</v>
      </c>
      <c r="CZ92">
        <f t="shared" si="13"/>
        <v>35011</v>
      </c>
      <c r="DA92">
        <f t="shared" si="14"/>
        <v>6.13</v>
      </c>
      <c r="DB92">
        <v>0</v>
      </c>
    </row>
    <row r="93" spans="1:106" x14ac:dyDescent="0.2">
      <c r="A93">
        <f>ROW(Source!A46)</f>
        <v>46</v>
      </c>
      <c r="B93">
        <v>39476960</v>
      </c>
      <c r="C93">
        <v>39477484</v>
      </c>
      <c r="D93">
        <v>36804596</v>
      </c>
      <c r="E93">
        <v>1</v>
      </c>
      <c r="F93">
        <v>1</v>
      </c>
      <c r="G93">
        <v>1</v>
      </c>
      <c r="H93">
        <v>3</v>
      </c>
      <c r="I93" t="s">
        <v>922</v>
      </c>
      <c r="J93" t="s">
        <v>923</v>
      </c>
      <c r="K93" t="s">
        <v>924</v>
      </c>
      <c r="L93">
        <v>1348</v>
      </c>
      <c r="N93">
        <v>1009</v>
      </c>
      <c r="O93" t="s">
        <v>34</v>
      </c>
      <c r="P93" t="s">
        <v>34</v>
      </c>
      <c r="Q93">
        <v>1000</v>
      </c>
      <c r="W93">
        <v>0</v>
      </c>
      <c r="X93">
        <v>-735561281</v>
      </c>
      <c r="Y93">
        <v>1.1999999999999999E-3</v>
      </c>
      <c r="AA93">
        <v>138280.54</v>
      </c>
      <c r="AB93">
        <v>0</v>
      </c>
      <c r="AC93">
        <v>0</v>
      </c>
      <c r="AD93">
        <v>0</v>
      </c>
      <c r="AE93">
        <v>22558</v>
      </c>
      <c r="AF93">
        <v>0</v>
      </c>
      <c r="AG93">
        <v>0</v>
      </c>
      <c r="AH93">
        <v>0</v>
      </c>
      <c r="AI93">
        <v>6.13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1.1999999999999999E-3</v>
      </c>
      <c r="AU93" t="s">
        <v>3</v>
      </c>
      <c r="AV93">
        <v>0</v>
      </c>
      <c r="AW93">
        <v>2</v>
      </c>
      <c r="AX93">
        <v>39477493</v>
      </c>
      <c r="AY93">
        <v>1</v>
      </c>
      <c r="AZ93">
        <v>0</v>
      </c>
      <c r="BA93">
        <v>90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Y93*Source!I46</f>
        <v>9.191999999999999E-4</v>
      </c>
      <c r="CY93">
        <f t="shared" si="12"/>
        <v>138280.54</v>
      </c>
      <c r="CZ93">
        <f t="shared" si="13"/>
        <v>22558</v>
      </c>
      <c r="DA93">
        <f t="shared" si="14"/>
        <v>6.13</v>
      </c>
      <c r="DB93">
        <v>0</v>
      </c>
    </row>
    <row r="94" spans="1:106" x14ac:dyDescent="0.2">
      <c r="A94">
        <f>ROW(Source!A46)</f>
        <v>46</v>
      </c>
      <c r="B94">
        <v>39476960</v>
      </c>
      <c r="C94">
        <v>39477484</v>
      </c>
      <c r="D94">
        <v>36805320</v>
      </c>
      <c r="E94">
        <v>1</v>
      </c>
      <c r="F94">
        <v>1</v>
      </c>
      <c r="G94">
        <v>1</v>
      </c>
      <c r="H94">
        <v>3</v>
      </c>
      <c r="I94" t="s">
        <v>925</v>
      </c>
      <c r="J94" t="s">
        <v>926</v>
      </c>
      <c r="K94" t="s">
        <v>927</v>
      </c>
      <c r="L94">
        <v>1346</v>
      </c>
      <c r="N94">
        <v>1009</v>
      </c>
      <c r="O94" t="s">
        <v>217</v>
      </c>
      <c r="P94" t="s">
        <v>217</v>
      </c>
      <c r="Q94">
        <v>1</v>
      </c>
      <c r="W94">
        <v>0</v>
      </c>
      <c r="X94">
        <v>650483364</v>
      </c>
      <c r="Y94">
        <v>10</v>
      </c>
      <c r="AA94">
        <v>318.64</v>
      </c>
      <c r="AB94">
        <v>0</v>
      </c>
      <c r="AC94">
        <v>0</v>
      </c>
      <c r="AD94">
        <v>0</v>
      </c>
      <c r="AE94">
        <v>51.98</v>
      </c>
      <c r="AF94">
        <v>0</v>
      </c>
      <c r="AG94">
        <v>0</v>
      </c>
      <c r="AH94">
        <v>0</v>
      </c>
      <c r="AI94">
        <v>6.13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10</v>
      </c>
      <c r="AU94" t="s">
        <v>3</v>
      </c>
      <c r="AV94">
        <v>0</v>
      </c>
      <c r="AW94">
        <v>2</v>
      </c>
      <c r="AX94">
        <v>39477494</v>
      </c>
      <c r="AY94">
        <v>1</v>
      </c>
      <c r="AZ94">
        <v>0</v>
      </c>
      <c r="BA94">
        <v>91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Y94*Source!I46</f>
        <v>7.66</v>
      </c>
      <c r="CY94">
        <f t="shared" si="12"/>
        <v>318.64</v>
      </c>
      <c r="CZ94">
        <f t="shared" si="13"/>
        <v>51.98</v>
      </c>
      <c r="DA94">
        <f t="shared" si="14"/>
        <v>6.13</v>
      </c>
      <c r="DB94">
        <v>0</v>
      </c>
    </row>
    <row r="95" spans="1:106" x14ac:dyDescent="0.2">
      <c r="A95">
        <f>ROW(Source!A46)</f>
        <v>46</v>
      </c>
      <c r="B95">
        <v>39476960</v>
      </c>
      <c r="C95">
        <v>39477484</v>
      </c>
      <c r="D95">
        <v>36805533</v>
      </c>
      <c r="E95">
        <v>1</v>
      </c>
      <c r="F95">
        <v>1</v>
      </c>
      <c r="G95">
        <v>1</v>
      </c>
      <c r="H95">
        <v>3</v>
      </c>
      <c r="I95" t="s">
        <v>928</v>
      </c>
      <c r="J95" t="s">
        <v>929</v>
      </c>
      <c r="K95" t="s">
        <v>930</v>
      </c>
      <c r="L95">
        <v>1302</v>
      </c>
      <c r="N95">
        <v>1003</v>
      </c>
      <c r="O95" t="s">
        <v>466</v>
      </c>
      <c r="P95" t="s">
        <v>466</v>
      </c>
      <c r="Q95">
        <v>10</v>
      </c>
      <c r="W95">
        <v>0</v>
      </c>
      <c r="X95">
        <v>-1072778819</v>
      </c>
      <c r="Y95">
        <v>1.27</v>
      </c>
      <c r="AA95">
        <v>451.47</v>
      </c>
      <c r="AB95">
        <v>0</v>
      </c>
      <c r="AC95">
        <v>0</v>
      </c>
      <c r="AD95">
        <v>0</v>
      </c>
      <c r="AE95">
        <v>73.650000000000006</v>
      </c>
      <c r="AF95">
        <v>0</v>
      </c>
      <c r="AG95">
        <v>0</v>
      </c>
      <c r="AH95">
        <v>0</v>
      </c>
      <c r="AI95">
        <v>6.13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1.27</v>
      </c>
      <c r="AU95" t="s">
        <v>3</v>
      </c>
      <c r="AV95">
        <v>0</v>
      </c>
      <c r="AW95">
        <v>2</v>
      </c>
      <c r="AX95">
        <v>39477495</v>
      </c>
      <c r="AY95">
        <v>1</v>
      </c>
      <c r="AZ95">
        <v>0</v>
      </c>
      <c r="BA95">
        <v>92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Y95*Source!I46</f>
        <v>0.97282000000000002</v>
      </c>
      <c r="CY95">
        <f t="shared" si="12"/>
        <v>451.47</v>
      </c>
      <c r="CZ95">
        <f t="shared" si="13"/>
        <v>73.650000000000006</v>
      </c>
      <c r="DA95">
        <f t="shared" si="14"/>
        <v>6.13</v>
      </c>
      <c r="DB95">
        <v>0</v>
      </c>
    </row>
    <row r="96" spans="1:106" x14ac:dyDescent="0.2">
      <c r="A96">
        <f>ROW(Source!A46)</f>
        <v>46</v>
      </c>
      <c r="B96">
        <v>39476960</v>
      </c>
      <c r="C96">
        <v>39477484</v>
      </c>
      <c r="D96">
        <v>36806488</v>
      </c>
      <c r="E96">
        <v>1</v>
      </c>
      <c r="F96">
        <v>1</v>
      </c>
      <c r="G96">
        <v>1</v>
      </c>
      <c r="H96">
        <v>3</v>
      </c>
      <c r="I96" t="s">
        <v>931</v>
      </c>
      <c r="J96" t="s">
        <v>932</v>
      </c>
      <c r="K96" t="s">
        <v>933</v>
      </c>
      <c r="L96">
        <v>1348</v>
      </c>
      <c r="N96">
        <v>1009</v>
      </c>
      <c r="O96" t="s">
        <v>34</v>
      </c>
      <c r="P96" t="s">
        <v>34</v>
      </c>
      <c r="Q96">
        <v>1000</v>
      </c>
      <c r="W96">
        <v>0</v>
      </c>
      <c r="X96">
        <v>-1421715385</v>
      </c>
      <c r="Y96">
        <v>7.4999999999999997E-3</v>
      </c>
      <c r="AA96">
        <v>4474.78</v>
      </c>
      <c r="AB96">
        <v>0</v>
      </c>
      <c r="AC96">
        <v>0</v>
      </c>
      <c r="AD96">
        <v>0</v>
      </c>
      <c r="AE96">
        <v>729.98</v>
      </c>
      <c r="AF96">
        <v>0</v>
      </c>
      <c r="AG96">
        <v>0</v>
      </c>
      <c r="AH96">
        <v>0</v>
      </c>
      <c r="AI96">
        <v>6.13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7.4999999999999997E-3</v>
      </c>
      <c r="AU96" t="s">
        <v>3</v>
      </c>
      <c r="AV96">
        <v>0</v>
      </c>
      <c r="AW96">
        <v>2</v>
      </c>
      <c r="AX96">
        <v>39477496</v>
      </c>
      <c r="AY96">
        <v>1</v>
      </c>
      <c r="AZ96">
        <v>0</v>
      </c>
      <c r="BA96">
        <v>93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Y96*Source!I46</f>
        <v>5.7450000000000001E-3</v>
      </c>
      <c r="CY96">
        <f t="shared" si="12"/>
        <v>4474.78</v>
      </c>
      <c r="CZ96">
        <f t="shared" si="13"/>
        <v>729.98</v>
      </c>
      <c r="DA96">
        <f t="shared" si="14"/>
        <v>6.13</v>
      </c>
      <c r="DB96">
        <v>0</v>
      </c>
    </row>
    <row r="97" spans="1:106" x14ac:dyDescent="0.2">
      <c r="A97">
        <f>ROW(Source!A46)</f>
        <v>46</v>
      </c>
      <c r="B97">
        <v>39476960</v>
      </c>
      <c r="C97">
        <v>39477484</v>
      </c>
      <c r="D97">
        <v>36826335</v>
      </c>
      <c r="E97">
        <v>1</v>
      </c>
      <c r="F97">
        <v>1</v>
      </c>
      <c r="G97">
        <v>1</v>
      </c>
      <c r="H97">
        <v>3</v>
      </c>
      <c r="I97" t="s">
        <v>934</v>
      </c>
      <c r="J97" t="s">
        <v>935</v>
      </c>
      <c r="K97" t="s">
        <v>936</v>
      </c>
      <c r="L97">
        <v>1348</v>
      </c>
      <c r="N97">
        <v>1009</v>
      </c>
      <c r="O97" t="s">
        <v>34</v>
      </c>
      <c r="P97" t="s">
        <v>34</v>
      </c>
      <c r="Q97">
        <v>1000</v>
      </c>
      <c r="W97">
        <v>0</v>
      </c>
      <c r="X97">
        <v>858854653</v>
      </c>
      <c r="Y97">
        <v>3.6999999999999998E-2</v>
      </c>
      <c r="AA97">
        <v>98981.11</v>
      </c>
      <c r="AB97">
        <v>0</v>
      </c>
      <c r="AC97">
        <v>0</v>
      </c>
      <c r="AD97">
        <v>0</v>
      </c>
      <c r="AE97">
        <v>16147</v>
      </c>
      <c r="AF97">
        <v>0</v>
      </c>
      <c r="AG97">
        <v>0</v>
      </c>
      <c r="AH97">
        <v>0</v>
      </c>
      <c r="AI97">
        <v>6.13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3.6999999999999998E-2</v>
      </c>
      <c r="AU97" t="s">
        <v>3</v>
      </c>
      <c r="AV97">
        <v>0</v>
      </c>
      <c r="AW97">
        <v>2</v>
      </c>
      <c r="AX97">
        <v>39477497</v>
      </c>
      <c r="AY97">
        <v>1</v>
      </c>
      <c r="AZ97">
        <v>0</v>
      </c>
      <c r="BA97">
        <v>94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Y97*Source!I46</f>
        <v>2.8341999999999999E-2</v>
      </c>
      <c r="CY97">
        <f t="shared" si="12"/>
        <v>98981.11</v>
      </c>
      <c r="CZ97">
        <f t="shared" si="13"/>
        <v>16147</v>
      </c>
      <c r="DA97">
        <f t="shared" si="14"/>
        <v>6.13</v>
      </c>
      <c r="DB97">
        <v>0</v>
      </c>
    </row>
    <row r="98" spans="1:106" x14ac:dyDescent="0.2">
      <c r="A98">
        <f>ROW(Source!A46)</f>
        <v>46</v>
      </c>
      <c r="B98">
        <v>39476960</v>
      </c>
      <c r="C98">
        <v>39477484</v>
      </c>
      <c r="D98">
        <v>36826336</v>
      </c>
      <c r="E98">
        <v>1</v>
      </c>
      <c r="F98">
        <v>1</v>
      </c>
      <c r="G98">
        <v>1</v>
      </c>
      <c r="H98">
        <v>3</v>
      </c>
      <c r="I98" t="s">
        <v>937</v>
      </c>
      <c r="J98" t="s">
        <v>938</v>
      </c>
      <c r="K98" t="s">
        <v>939</v>
      </c>
      <c r="L98">
        <v>1348</v>
      </c>
      <c r="N98">
        <v>1009</v>
      </c>
      <c r="O98" t="s">
        <v>34</v>
      </c>
      <c r="P98" t="s">
        <v>34</v>
      </c>
      <c r="Q98">
        <v>1000</v>
      </c>
      <c r="W98">
        <v>0</v>
      </c>
      <c r="X98">
        <v>478228047</v>
      </c>
      <c r="Y98">
        <v>0.10100000000000001</v>
      </c>
      <c r="AA98">
        <v>98981.11</v>
      </c>
      <c r="AB98">
        <v>0</v>
      </c>
      <c r="AC98">
        <v>0</v>
      </c>
      <c r="AD98">
        <v>0</v>
      </c>
      <c r="AE98">
        <v>16147</v>
      </c>
      <c r="AF98">
        <v>0</v>
      </c>
      <c r="AG98">
        <v>0</v>
      </c>
      <c r="AH98">
        <v>0</v>
      </c>
      <c r="AI98">
        <v>6.13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0.10100000000000001</v>
      </c>
      <c r="AU98" t="s">
        <v>3</v>
      </c>
      <c r="AV98">
        <v>0</v>
      </c>
      <c r="AW98">
        <v>2</v>
      </c>
      <c r="AX98">
        <v>39477498</v>
      </c>
      <c r="AY98">
        <v>1</v>
      </c>
      <c r="AZ98">
        <v>0</v>
      </c>
      <c r="BA98">
        <v>95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Y98*Source!I46</f>
        <v>7.7366000000000004E-2</v>
      </c>
      <c r="CY98">
        <f t="shared" si="12"/>
        <v>98981.11</v>
      </c>
      <c r="CZ98">
        <f t="shared" si="13"/>
        <v>16147</v>
      </c>
      <c r="DA98">
        <f t="shared" si="14"/>
        <v>6.13</v>
      </c>
      <c r="DB98">
        <v>0</v>
      </c>
    </row>
    <row r="99" spans="1:106" x14ac:dyDescent="0.2">
      <c r="A99">
        <f>ROW(Source!A46)</f>
        <v>46</v>
      </c>
      <c r="B99">
        <v>39476960</v>
      </c>
      <c r="C99">
        <v>39477484</v>
      </c>
      <c r="D99">
        <v>36836983</v>
      </c>
      <c r="E99">
        <v>1</v>
      </c>
      <c r="F99">
        <v>1</v>
      </c>
      <c r="G99">
        <v>1</v>
      </c>
      <c r="H99">
        <v>3</v>
      </c>
      <c r="I99" t="s">
        <v>940</v>
      </c>
      <c r="J99" t="s">
        <v>941</v>
      </c>
      <c r="K99" t="s">
        <v>942</v>
      </c>
      <c r="L99">
        <v>1346</v>
      </c>
      <c r="N99">
        <v>1009</v>
      </c>
      <c r="O99" t="s">
        <v>217</v>
      </c>
      <c r="P99" t="s">
        <v>217</v>
      </c>
      <c r="Q99">
        <v>1</v>
      </c>
      <c r="W99">
        <v>0</v>
      </c>
      <c r="X99">
        <v>-1684093315</v>
      </c>
      <c r="Y99">
        <v>4</v>
      </c>
      <c r="AA99">
        <v>49.59</v>
      </c>
      <c r="AB99">
        <v>0</v>
      </c>
      <c r="AC99">
        <v>0</v>
      </c>
      <c r="AD99">
        <v>0</v>
      </c>
      <c r="AE99">
        <v>8.09</v>
      </c>
      <c r="AF99">
        <v>0</v>
      </c>
      <c r="AG99">
        <v>0</v>
      </c>
      <c r="AH99">
        <v>0</v>
      </c>
      <c r="AI99">
        <v>6.13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4</v>
      </c>
      <c r="AU99" t="s">
        <v>3</v>
      </c>
      <c r="AV99">
        <v>0</v>
      </c>
      <c r="AW99">
        <v>2</v>
      </c>
      <c r="AX99">
        <v>39477499</v>
      </c>
      <c r="AY99">
        <v>1</v>
      </c>
      <c r="AZ99">
        <v>0</v>
      </c>
      <c r="BA99">
        <v>96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Y99*Source!I46</f>
        <v>3.0640000000000001</v>
      </c>
      <c r="CY99">
        <f t="shared" si="12"/>
        <v>49.59</v>
      </c>
      <c r="CZ99">
        <f t="shared" si="13"/>
        <v>8.09</v>
      </c>
      <c r="DA99">
        <f t="shared" si="14"/>
        <v>6.13</v>
      </c>
      <c r="DB99">
        <v>0</v>
      </c>
    </row>
    <row r="100" spans="1:106" x14ac:dyDescent="0.2">
      <c r="A100">
        <f>ROW(Source!A46)</f>
        <v>46</v>
      </c>
      <c r="B100">
        <v>39476960</v>
      </c>
      <c r="C100">
        <v>39477484</v>
      </c>
      <c r="D100">
        <v>36836997</v>
      </c>
      <c r="E100">
        <v>1</v>
      </c>
      <c r="F100">
        <v>1</v>
      </c>
      <c r="G100">
        <v>1</v>
      </c>
      <c r="H100">
        <v>3</v>
      </c>
      <c r="I100" t="s">
        <v>943</v>
      </c>
      <c r="J100" t="s">
        <v>944</v>
      </c>
      <c r="K100" t="s">
        <v>945</v>
      </c>
      <c r="L100">
        <v>1346</v>
      </c>
      <c r="N100">
        <v>1009</v>
      </c>
      <c r="O100" t="s">
        <v>217</v>
      </c>
      <c r="P100" t="s">
        <v>217</v>
      </c>
      <c r="Q100">
        <v>1</v>
      </c>
      <c r="W100">
        <v>0</v>
      </c>
      <c r="X100">
        <v>-1230081286</v>
      </c>
      <c r="Y100">
        <v>1</v>
      </c>
      <c r="AA100">
        <v>275.85000000000002</v>
      </c>
      <c r="AB100">
        <v>0</v>
      </c>
      <c r="AC100">
        <v>0</v>
      </c>
      <c r="AD100">
        <v>0</v>
      </c>
      <c r="AE100">
        <v>45</v>
      </c>
      <c r="AF100">
        <v>0</v>
      </c>
      <c r="AG100">
        <v>0</v>
      </c>
      <c r="AH100">
        <v>0</v>
      </c>
      <c r="AI100">
        <v>6.13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1</v>
      </c>
      <c r="AU100" t="s">
        <v>3</v>
      </c>
      <c r="AV100">
        <v>0</v>
      </c>
      <c r="AW100">
        <v>2</v>
      </c>
      <c r="AX100">
        <v>39477500</v>
      </c>
      <c r="AY100">
        <v>1</v>
      </c>
      <c r="AZ100">
        <v>0</v>
      </c>
      <c r="BA100">
        <v>97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Y100*Source!I46</f>
        <v>0.76600000000000001</v>
      </c>
      <c r="CY100">
        <f t="shared" si="12"/>
        <v>275.85000000000002</v>
      </c>
      <c r="CZ100">
        <f t="shared" si="13"/>
        <v>45</v>
      </c>
      <c r="DA100">
        <f t="shared" si="14"/>
        <v>6.13</v>
      </c>
      <c r="DB100">
        <v>0</v>
      </c>
    </row>
    <row r="101" spans="1:106" x14ac:dyDescent="0.2">
      <c r="A101">
        <f>ROW(Source!A46)</f>
        <v>46</v>
      </c>
      <c r="B101">
        <v>39476960</v>
      </c>
      <c r="C101">
        <v>39477484</v>
      </c>
      <c r="D101">
        <v>36838890</v>
      </c>
      <c r="E101">
        <v>1</v>
      </c>
      <c r="F101">
        <v>1</v>
      </c>
      <c r="G101">
        <v>1</v>
      </c>
      <c r="H101">
        <v>3</v>
      </c>
      <c r="I101" t="s">
        <v>946</v>
      </c>
      <c r="J101" t="s">
        <v>947</v>
      </c>
      <c r="K101" t="s">
        <v>948</v>
      </c>
      <c r="L101">
        <v>1348</v>
      </c>
      <c r="N101">
        <v>1009</v>
      </c>
      <c r="O101" t="s">
        <v>34</v>
      </c>
      <c r="P101" t="s">
        <v>34</v>
      </c>
      <c r="Q101">
        <v>1000</v>
      </c>
      <c r="W101">
        <v>0</v>
      </c>
      <c r="X101">
        <v>-1014191970</v>
      </c>
      <c r="Y101">
        <v>3.6999999999999998E-2</v>
      </c>
      <c r="AA101">
        <v>105331.79</v>
      </c>
      <c r="AB101">
        <v>0</v>
      </c>
      <c r="AC101">
        <v>0</v>
      </c>
      <c r="AD101">
        <v>0</v>
      </c>
      <c r="AE101">
        <v>17183</v>
      </c>
      <c r="AF101">
        <v>0</v>
      </c>
      <c r="AG101">
        <v>0</v>
      </c>
      <c r="AH101">
        <v>0</v>
      </c>
      <c r="AI101">
        <v>6.13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3.6999999999999998E-2</v>
      </c>
      <c r="AU101" t="s">
        <v>3</v>
      </c>
      <c r="AV101">
        <v>0</v>
      </c>
      <c r="AW101">
        <v>2</v>
      </c>
      <c r="AX101">
        <v>39477501</v>
      </c>
      <c r="AY101">
        <v>1</v>
      </c>
      <c r="AZ101">
        <v>0</v>
      </c>
      <c r="BA101">
        <v>98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Y101*Source!I46</f>
        <v>2.8341999999999999E-2</v>
      </c>
      <c r="CY101">
        <f t="shared" si="12"/>
        <v>105331.79</v>
      </c>
      <c r="CZ101">
        <f t="shared" si="13"/>
        <v>17183</v>
      </c>
      <c r="DA101">
        <f t="shared" si="14"/>
        <v>6.13</v>
      </c>
      <c r="DB101">
        <v>0</v>
      </c>
    </row>
    <row r="102" spans="1:106" x14ac:dyDescent="0.2">
      <c r="A102">
        <f>ROW(Source!A49)</f>
        <v>49</v>
      </c>
      <c r="B102">
        <v>39476960</v>
      </c>
      <c r="C102">
        <v>39477524</v>
      </c>
      <c r="D102">
        <v>37072767</v>
      </c>
      <c r="E102">
        <v>1</v>
      </c>
      <c r="F102">
        <v>1</v>
      </c>
      <c r="G102">
        <v>1</v>
      </c>
      <c r="H102">
        <v>1</v>
      </c>
      <c r="I102" t="s">
        <v>949</v>
      </c>
      <c r="J102" t="s">
        <v>3</v>
      </c>
      <c r="K102" t="s">
        <v>950</v>
      </c>
      <c r="L102">
        <v>1191</v>
      </c>
      <c r="N102">
        <v>1013</v>
      </c>
      <c r="O102" t="s">
        <v>796</v>
      </c>
      <c r="P102" t="s">
        <v>796</v>
      </c>
      <c r="Q102">
        <v>1</v>
      </c>
      <c r="W102">
        <v>0</v>
      </c>
      <c r="X102">
        <v>-1027537862</v>
      </c>
      <c r="Y102">
        <v>314.64</v>
      </c>
      <c r="AA102">
        <v>0</v>
      </c>
      <c r="AB102">
        <v>0</v>
      </c>
      <c r="AC102">
        <v>0</v>
      </c>
      <c r="AD102">
        <v>56.27</v>
      </c>
      <c r="AE102">
        <v>0</v>
      </c>
      <c r="AF102">
        <v>0</v>
      </c>
      <c r="AG102">
        <v>0</v>
      </c>
      <c r="AH102">
        <v>9.18</v>
      </c>
      <c r="AI102">
        <v>1</v>
      </c>
      <c r="AJ102">
        <v>1</v>
      </c>
      <c r="AK102">
        <v>1</v>
      </c>
      <c r="AL102">
        <v>6.13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228</v>
      </c>
      <c r="AU102" t="s">
        <v>54</v>
      </c>
      <c r="AV102">
        <v>1</v>
      </c>
      <c r="AW102">
        <v>2</v>
      </c>
      <c r="AX102">
        <v>39477525</v>
      </c>
      <c r="AY102">
        <v>1</v>
      </c>
      <c r="AZ102">
        <v>0</v>
      </c>
      <c r="BA102">
        <v>99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Y102*Source!I49</f>
        <v>220.24799999999999</v>
      </c>
      <c r="CY102">
        <f>AD102</f>
        <v>56.27</v>
      </c>
      <c r="CZ102">
        <f>AH102</f>
        <v>9.18</v>
      </c>
      <c r="DA102">
        <f>AL102</f>
        <v>6.13</v>
      </c>
      <c r="DB102">
        <v>0</v>
      </c>
    </row>
    <row r="103" spans="1:106" x14ac:dyDescent="0.2">
      <c r="A103">
        <f>ROW(Source!A49)</f>
        <v>49</v>
      </c>
      <c r="B103">
        <v>39476960</v>
      </c>
      <c r="C103">
        <v>39477524</v>
      </c>
      <c r="D103">
        <v>37064876</v>
      </c>
      <c r="E103">
        <v>1</v>
      </c>
      <c r="F103">
        <v>1</v>
      </c>
      <c r="G103">
        <v>1</v>
      </c>
      <c r="H103">
        <v>1</v>
      </c>
      <c r="I103" t="s">
        <v>797</v>
      </c>
      <c r="J103" t="s">
        <v>3</v>
      </c>
      <c r="K103" t="s">
        <v>798</v>
      </c>
      <c r="L103">
        <v>1191</v>
      </c>
      <c r="N103">
        <v>1013</v>
      </c>
      <c r="O103" t="s">
        <v>796</v>
      </c>
      <c r="P103" t="s">
        <v>796</v>
      </c>
      <c r="Q103">
        <v>1</v>
      </c>
      <c r="W103">
        <v>0</v>
      </c>
      <c r="X103">
        <v>-1417349443</v>
      </c>
      <c r="Y103">
        <v>0.86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6.13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0.86</v>
      </c>
      <c r="AU103" t="s">
        <v>3</v>
      </c>
      <c r="AV103">
        <v>2</v>
      </c>
      <c r="AW103">
        <v>2</v>
      </c>
      <c r="AX103">
        <v>39477526</v>
      </c>
      <c r="AY103">
        <v>1</v>
      </c>
      <c r="AZ103">
        <v>2048</v>
      </c>
      <c r="BA103">
        <v>100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Y103*Source!I49</f>
        <v>0.60199999999999998</v>
      </c>
      <c r="CY103">
        <f>AD103</f>
        <v>0</v>
      </c>
      <c r="CZ103">
        <f>AH103</f>
        <v>0</v>
      </c>
      <c r="DA103">
        <f>AL103</f>
        <v>1</v>
      </c>
      <c r="DB103">
        <v>0</v>
      </c>
    </row>
    <row r="104" spans="1:106" x14ac:dyDescent="0.2">
      <c r="A104">
        <f>ROW(Source!A49)</f>
        <v>49</v>
      </c>
      <c r="B104">
        <v>39476960</v>
      </c>
      <c r="C104">
        <v>39477524</v>
      </c>
      <c r="D104">
        <v>36882383</v>
      </c>
      <c r="E104">
        <v>1</v>
      </c>
      <c r="F104">
        <v>1</v>
      </c>
      <c r="G104">
        <v>1</v>
      </c>
      <c r="H104">
        <v>2</v>
      </c>
      <c r="I104" t="s">
        <v>951</v>
      </c>
      <c r="J104" t="s">
        <v>952</v>
      </c>
      <c r="K104" t="s">
        <v>953</v>
      </c>
      <c r="L104">
        <v>1368</v>
      </c>
      <c r="N104">
        <v>1011</v>
      </c>
      <c r="O104" t="s">
        <v>802</v>
      </c>
      <c r="P104" t="s">
        <v>802</v>
      </c>
      <c r="Q104">
        <v>1</v>
      </c>
      <c r="W104">
        <v>0</v>
      </c>
      <c r="X104">
        <v>1225731627</v>
      </c>
      <c r="Y104">
        <v>7.4999999999999997E-2</v>
      </c>
      <c r="AA104">
        <v>0</v>
      </c>
      <c r="AB104">
        <v>551.64</v>
      </c>
      <c r="AC104">
        <v>10.06</v>
      </c>
      <c r="AD104">
        <v>0</v>
      </c>
      <c r="AE104">
        <v>0</v>
      </c>
      <c r="AF104">
        <v>89.99</v>
      </c>
      <c r="AG104">
        <v>10.06</v>
      </c>
      <c r="AH104">
        <v>0</v>
      </c>
      <c r="AI104">
        <v>1</v>
      </c>
      <c r="AJ104">
        <v>6.13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0.05</v>
      </c>
      <c r="AU104" t="s">
        <v>53</v>
      </c>
      <c r="AV104">
        <v>0</v>
      </c>
      <c r="AW104">
        <v>2</v>
      </c>
      <c r="AX104">
        <v>39477527</v>
      </c>
      <c r="AY104">
        <v>1</v>
      </c>
      <c r="AZ104">
        <v>0</v>
      </c>
      <c r="BA104">
        <v>101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Y104*Source!I49</f>
        <v>5.2499999999999998E-2</v>
      </c>
      <c r="CY104">
        <f>AB104</f>
        <v>551.64</v>
      </c>
      <c r="CZ104">
        <f>AF104</f>
        <v>89.99</v>
      </c>
      <c r="DA104">
        <f>AJ104</f>
        <v>6.13</v>
      </c>
      <c r="DB104">
        <v>0</v>
      </c>
    </row>
    <row r="105" spans="1:106" x14ac:dyDescent="0.2">
      <c r="A105">
        <f>ROW(Source!A49)</f>
        <v>49</v>
      </c>
      <c r="B105">
        <v>39476960</v>
      </c>
      <c r="C105">
        <v>39477524</v>
      </c>
      <c r="D105">
        <v>36882452</v>
      </c>
      <c r="E105">
        <v>1</v>
      </c>
      <c r="F105">
        <v>1</v>
      </c>
      <c r="G105">
        <v>1</v>
      </c>
      <c r="H105">
        <v>2</v>
      </c>
      <c r="I105" t="s">
        <v>799</v>
      </c>
      <c r="J105" t="s">
        <v>800</v>
      </c>
      <c r="K105" t="s">
        <v>801</v>
      </c>
      <c r="L105">
        <v>1368</v>
      </c>
      <c r="N105">
        <v>1011</v>
      </c>
      <c r="O105" t="s">
        <v>802</v>
      </c>
      <c r="P105" t="s">
        <v>802</v>
      </c>
      <c r="Q105">
        <v>1</v>
      </c>
      <c r="W105">
        <v>0</v>
      </c>
      <c r="X105">
        <v>1188625873</v>
      </c>
      <c r="Y105">
        <v>1.2150000000000001</v>
      </c>
      <c r="AA105">
        <v>0</v>
      </c>
      <c r="AB105">
        <v>191.62</v>
      </c>
      <c r="AC105">
        <v>13.5</v>
      </c>
      <c r="AD105">
        <v>0</v>
      </c>
      <c r="AE105">
        <v>0</v>
      </c>
      <c r="AF105">
        <v>31.26</v>
      </c>
      <c r="AG105">
        <v>13.5</v>
      </c>
      <c r="AH105">
        <v>0</v>
      </c>
      <c r="AI105">
        <v>1</v>
      </c>
      <c r="AJ105">
        <v>6.13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0.81</v>
      </c>
      <c r="AU105" t="s">
        <v>53</v>
      </c>
      <c r="AV105">
        <v>0</v>
      </c>
      <c r="AW105">
        <v>2</v>
      </c>
      <c r="AX105">
        <v>39477528</v>
      </c>
      <c r="AY105">
        <v>1</v>
      </c>
      <c r="AZ105">
        <v>0</v>
      </c>
      <c r="BA105">
        <v>102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Y105*Source!I49</f>
        <v>0.85050000000000003</v>
      </c>
      <c r="CY105">
        <f>AB105</f>
        <v>191.62</v>
      </c>
      <c r="CZ105">
        <f>AF105</f>
        <v>31.26</v>
      </c>
      <c r="DA105">
        <f>AJ105</f>
        <v>6.13</v>
      </c>
      <c r="DB105">
        <v>0</v>
      </c>
    </row>
    <row r="106" spans="1:106" x14ac:dyDescent="0.2">
      <c r="A106">
        <f>ROW(Source!A49)</f>
        <v>49</v>
      </c>
      <c r="B106">
        <v>39476960</v>
      </c>
      <c r="C106">
        <v>39477524</v>
      </c>
      <c r="D106">
        <v>36801792</v>
      </c>
      <c r="E106">
        <v>1</v>
      </c>
      <c r="F106">
        <v>1</v>
      </c>
      <c r="G106">
        <v>1</v>
      </c>
      <c r="H106">
        <v>3</v>
      </c>
      <c r="I106" t="s">
        <v>954</v>
      </c>
      <c r="J106" t="s">
        <v>955</v>
      </c>
      <c r="K106" t="s">
        <v>956</v>
      </c>
      <c r="L106">
        <v>1339</v>
      </c>
      <c r="N106">
        <v>1007</v>
      </c>
      <c r="O106" t="s">
        <v>25</v>
      </c>
      <c r="P106" t="s">
        <v>25</v>
      </c>
      <c r="Q106">
        <v>1</v>
      </c>
      <c r="W106">
        <v>0</v>
      </c>
      <c r="X106">
        <v>-1660354250</v>
      </c>
      <c r="Y106">
        <v>0.46500000000000002</v>
      </c>
      <c r="AA106">
        <v>14.96</v>
      </c>
      <c r="AB106">
        <v>0</v>
      </c>
      <c r="AC106">
        <v>0</v>
      </c>
      <c r="AD106">
        <v>0</v>
      </c>
      <c r="AE106">
        <v>2.44</v>
      </c>
      <c r="AF106">
        <v>0</v>
      </c>
      <c r="AG106">
        <v>0</v>
      </c>
      <c r="AH106">
        <v>0</v>
      </c>
      <c r="AI106">
        <v>6.13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0.46500000000000002</v>
      </c>
      <c r="AU106" t="s">
        <v>3</v>
      </c>
      <c r="AV106">
        <v>0</v>
      </c>
      <c r="AW106">
        <v>2</v>
      </c>
      <c r="AX106">
        <v>39477529</v>
      </c>
      <c r="AY106">
        <v>1</v>
      </c>
      <c r="AZ106">
        <v>0</v>
      </c>
      <c r="BA106">
        <v>103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Y106*Source!I49</f>
        <v>0.32550000000000001</v>
      </c>
      <c r="CY106">
        <f t="shared" ref="CY106:CY112" si="15">AA106</f>
        <v>14.96</v>
      </c>
      <c r="CZ106">
        <f t="shared" ref="CZ106:CZ112" si="16">AE106</f>
        <v>2.44</v>
      </c>
      <c r="DA106">
        <f t="shared" ref="DA106:DA112" si="17">AI106</f>
        <v>6.13</v>
      </c>
      <c r="DB106">
        <v>0</v>
      </c>
    </row>
    <row r="107" spans="1:106" x14ac:dyDescent="0.2">
      <c r="A107">
        <f>ROW(Source!A49)</f>
        <v>49</v>
      </c>
      <c r="B107">
        <v>39476960</v>
      </c>
      <c r="C107">
        <v>39477524</v>
      </c>
      <c r="D107">
        <v>36802468</v>
      </c>
      <c r="E107">
        <v>1</v>
      </c>
      <c r="F107">
        <v>1</v>
      </c>
      <c r="G107">
        <v>1</v>
      </c>
      <c r="H107">
        <v>3</v>
      </c>
      <c r="I107" t="s">
        <v>957</v>
      </c>
      <c r="J107" t="s">
        <v>958</v>
      </c>
      <c r="K107" t="s">
        <v>959</v>
      </c>
      <c r="L107">
        <v>1339</v>
      </c>
      <c r="N107">
        <v>1007</v>
      </c>
      <c r="O107" t="s">
        <v>25</v>
      </c>
      <c r="P107" t="s">
        <v>25</v>
      </c>
      <c r="Q107">
        <v>1</v>
      </c>
      <c r="W107">
        <v>0</v>
      </c>
      <c r="X107">
        <v>114057443</v>
      </c>
      <c r="Y107">
        <v>0.1</v>
      </c>
      <c r="AA107">
        <v>214.06</v>
      </c>
      <c r="AB107">
        <v>0</v>
      </c>
      <c r="AC107">
        <v>0</v>
      </c>
      <c r="AD107">
        <v>0</v>
      </c>
      <c r="AE107">
        <v>34.92</v>
      </c>
      <c r="AF107">
        <v>0</v>
      </c>
      <c r="AG107">
        <v>0</v>
      </c>
      <c r="AH107">
        <v>0</v>
      </c>
      <c r="AI107">
        <v>6.13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0.1</v>
      </c>
      <c r="AU107" t="s">
        <v>3</v>
      </c>
      <c r="AV107">
        <v>0</v>
      </c>
      <c r="AW107">
        <v>2</v>
      </c>
      <c r="AX107">
        <v>39477530</v>
      </c>
      <c r="AY107">
        <v>1</v>
      </c>
      <c r="AZ107">
        <v>0</v>
      </c>
      <c r="BA107">
        <v>104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Y107*Source!I49</f>
        <v>6.9999999999999993E-2</v>
      </c>
      <c r="CY107">
        <f t="shared" si="15"/>
        <v>214.06</v>
      </c>
      <c r="CZ107">
        <f t="shared" si="16"/>
        <v>34.92</v>
      </c>
      <c r="DA107">
        <f t="shared" si="17"/>
        <v>6.13</v>
      </c>
      <c r="DB107">
        <v>0</v>
      </c>
    </row>
    <row r="108" spans="1:106" x14ac:dyDescent="0.2">
      <c r="A108">
        <f>ROW(Source!A49)</f>
        <v>49</v>
      </c>
      <c r="B108">
        <v>39476960</v>
      </c>
      <c r="C108">
        <v>39477524</v>
      </c>
      <c r="D108">
        <v>36805524</v>
      </c>
      <c r="E108">
        <v>1</v>
      </c>
      <c r="F108">
        <v>1</v>
      </c>
      <c r="G108">
        <v>1</v>
      </c>
      <c r="H108">
        <v>3</v>
      </c>
      <c r="I108" t="s">
        <v>960</v>
      </c>
      <c r="J108" t="s">
        <v>961</v>
      </c>
      <c r="K108" t="s">
        <v>962</v>
      </c>
      <c r="L108">
        <v>1346</v>
      </c>
      <c r="N108">
        <v>1009</v>
      </c>
      <c r="O108" t="s">
        <v>217</v>
      </c>
      <c r="P108" t="s">
        <v>217</v>
      </c>
      <c r="Q108">
        <v>1</v>
      </c>
      <c r="W108">
        <v>0</v>
      </c>
      <c r="X108">
        <v>813963326</v>
      </c>
      <c r="Y108">
        <v>0.5</v>
      </c>
      <c r="AA108">
        <v>11.16</v>
      </c>
      <c r="AB108">
        <v>0</v>
      </c>
      <c r="AC108">
        <v>0</v>
      </c>
      <c r="AD108">
        <v>0</v>
      </c>
      <c r="AE108">
        <v>1.82</v>
      </c>
      <c r="AF108">
        <v>0</v>
      </c>
      <c r="AG108">
        <v>0</v>
      </c>
      <c r="AH108">
        <v>0</v>
      </c>
      <c r="AI108">
        <v>6.13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0.5</v>
      </c>
      <c r="AU108" t="s">
        <v>3</v>
      </c>
      <c r="AV108">
        <v>0</v>
      </c>
      <c r="AW108">
        <v>2</v>
      </c>
      <c r="AX108">
        <v>39477531</v>
      </c>
      <c r="AY108">
        <v>1</v>
      </c>
      <c r="AZ108">
        <v>0</v>
      </c>
      <c r="BA108">
        <v>105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Y108*Source!I49</f>
        <v>0.35</v>
      </c>
      <c r="CY108">
        <f t="shared" si="15"/>
        <v>11.16</v>
      </c>
      <c r="CZ108">
        <f t="shared" si="16"/>
        <v>1.82</v>
      </c>
      <c r="DA108">
        <f t="shared" si="17"/>
        <v>6.13</v>
      </c>
      <c r="DB108">
        <v>0</v>
      </c>
    </row>
    <row r="109" spans="1:106" x14ac:dyDescent="0.2">
      <c r="A109">
        <f>ROW(Source!A49)</f>
        <v>49</v>
      </c>
      <c r="B109">
        <v>39476960</v>
      </c>
      <c r="C109">
        <v>39477524</v>
      </c>
      <c r="D109">
        <v>36806545</v>
      </c>
      <c r="E109">
        <v>1</v>
      </c>
      <c r="F109">
        <v>1</v>
      </c>
      <c r="G109">
        <v>1</v>
      </c>
      <c r="H109">
        <v>3</v>
      </c>
      <c r="I109" t="s">
        <v>963</v>
      </c>
      <c r="J109" t="s">
        <v>964</v>
      </c>
      <c r="K109" t="s">
        <v>965</v>
      </c>
      <c r="L109">
        <v>1348</v>
      </c>
      <c r="N109">
        <v>1009</v>
      </c>
      <c r="O109" t="s">
        <v>34</v>
      </c>
      <c r="P109" t="s">
        <v>34</v>
      </c>
      <c r="Q109">
        <v>1000</v>
      </c>
      <c r="W109">
        <v>0</v>
      </c>
      <c r="X109">
        <v>-1187323236</v>
      </c>
      <c r="Y109">
        <v>0.04</v>
      </c>
      <c r="AA109">
        <v>2525.56</v>
      </c>
      <c r="AB109">
        <v>0</v>
      </c>
      <c r="AC109">
        <v>0</v>
      </c>
      <c r="AD109">
        <v>0</v>
      </c>
      <c r="AE109">
        <v>412</v>
      </c>
      <c r="AF109">
        <v>0</v>
      </c>
      <c r="AG109">
        <v>0</v>
      </c>
      <c r="AH109">
        <v>0</v>
      </c>
      <c r="AI109">
        <v>6.13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0.04</v>
      </c>
      <c r="AU109" t="s">
        <v>3</v>
      </c>
      <c r="AV109">
        <v>0</v>
      </c>
      <c r="AW109">
        <v>2</v>
      </c>
      <c r="AX109">
        <v>39477532</v>
      </c>
      <c r="AY109">
        <v>1</v>
      </c>
      <c r="AZ109">
        <v>0</v>
      </c>
      <c r="BA109">
        <v>106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Y109*Source!I49</f>
        <v>2.7999999999999997E-2</v>
      </c>
      <c r="CY109">
        <f t="shared" si="15"/>
        <v>2525.56</v>
      </c>
      <c r="CZ109">
        <f t="shared" si="16"/>
        <v>412</v>
      </c>
      <c r="DA109">
        <f t="shared" si="17"/>
        <v>6.13</v>
      </c>
      <c r="DB109">
        <v>0</v>
      </c>
    </row>
    <row r="110" spans="1:106" x14ac:dyDescent="0.2">
      <c r="A110">
        <f>ROW(Source!A49)</f>
        <v>49</v>
      </c>
      <c r="B110">
        <v>39476960</v>
      </c>
      <c r="C110">
        <v>39477524</v>
      </c>
      <c r="D110">
        <v>36807350</v>
      </c>
      <c r="E110">
        <v>1</v>
      </c>
      <c r="F110">
        <v>1</v>
      </c>
      <c r="G110">
        <v>1</v>
      </c>
      <c r="H110">
        <v>3</v>
      </c>
      <c r="I110" t="s">
        <v>966</v>
      </c>
      <c r="J110" t="s">
        <v>967</v>
      </c>
      <c r="K110" t="s">
        <v>968</v>
      </c>
      <c r="L110">
        <v>1339</v>
      </c>
      <c r="N110">
        <v>1007</v>
      </c>
      <c r="O110" t="s">
        <v>25</v>
      </c>
      <c r="P110" t="s">
        <v>25</v>
      </c>
      <c r="Q110">
        <v>1</v>
      </c>
      <c r="W110">
        <v>0</v>
      </c>
      <c r="X110">
        <v>2085773513</v>
      </c>
      <c r="Y110">
        <v>1.5</v>
      </c>
      <c r="AA110">
        <v>3046.61</v>
      </c>
      <c r="AB110">
        <v>0</v>
      </c>
      <c r="AC110">
        <v>0</v>
      </c>
      <c r="AD110">
        <v>0</v>
      </c>
      <c r="AE110">
        <v>497</v>
      </c>
      <c r="AF110">
        <v>0</v>
      </c>
      <c r="AG110">
        <v>0</v>
      </c>
      <c r="AH110">
        <v>0</v>
      </c>
      <c r="AI110">
        <v>6.13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1.5</v>
      </c>
      <c r="AU110" t="s">
        <v>3</v>
      </c>
      <c r="AV110">
        <v>0</v>
      </c>
      <c r="AW110">
        <v>2</v>
      </c>
      <c r="AX110">
        <v>39477533</v>
      </c>
      <c r="AY110">
        <v>1</v>
      </c>
      <c r="AZ110">
        <v>0</v>
      </c>
      <c r="BA110">
        <v>107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Y110*Source!I49</f>
        <v>1.0499999999999998</v>
      </c>
      <c r="CY110">
        <f t="shared" si="15"/>
        <v>3046.61</v>
      </c>
      <c r="CZ110">
        <f t="shared" si="16"/>
        <v>497</v>
      </c>
      <c r="DA110">
        <f t="shared" si="17"/>
        <v>6.13</v>
      </c>
      <c r="DB110">
        <v>0</v>
      </c>
    </row>
    <row r="111" spans="1:106" x14ac:dyDescent="0.2">
      <c r="A111">
        <f>ROW(Source!A49)</f>
        <v>49</v>
      </c>
      <c r="B111">
        <v>39476960</v>
      </c>
      <c r="C111">
        <v>39477524</v>
      </c>
      <c r="D111">
        <v>36821491</v>
      </c>
      <c r="E111">
        <v>1</v>
      </c>
      <c r="F111">
        <v>1</v>
      </c>
      <c r="G111">
        <v>1</v>
      </c>
      <c r="H111">
        <v>3</v>
      </c>
      <c r="I111" t="s">
        <v>126</v>
      </c>
      <c r="J111" t="s">
        <v>128</v>
      </c>
      <c r="K111" t="s">
        <v>127</v>
      </c>
      <c r="L111">
        <v>1327</v>
      </c>
      <c r="N111">
        <v>1005</v>
      </c>
      <c r="O111" t="s">
        <v>61</v>
      </c>
      <c r="P111" t="s">
        <v>61</v>
      </c>
      <c r="Q111">
        <v>1</v>
      </c>
      <c r="W111">
        <v>0</v>
      </c>
      <c r="X111">
        <v>1756433077</v>
      </c>
      <c r="Y111">
        <v>100</v>
      </c>
      <c r="AA111">
        <v>447.67</v>
      </c>
      <c r="AB111">
        <v>0</v>
      </c>
      <c r="AC111">
        <v>0</v>
      </c>
      <c r="AD111">
        <v>0</v>
      </c>
      <c r="AE111">
        <v>73.03</v>
      </c>
      <c r="AF111">
        <v>0</v>
      </c>
      <c r="AG111">
        <v>0</v>
      </c>
      <c r="AH111">
        <v>0</v>
      </c>
      <c r="AI111">
        <v>6.13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3</v>
      </c>
      <c r="AT111">
        <v>100</v>
      </c>
      <c r="AU111" t="s">
        <v>3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Y111*Source!I49</f>
        <v>70</v>
      </c>
      <c r="CY111">
        <f t="shared" si="15"/>
        <v>447.67</v>
      </c>
      <c r="CZ111">
        <f t="shared" si="16"/>
        <v>73.03</v>
      </c>
      <c r="DA111">
        <f t="shared" si="17"/>
        <v>6.13</v>
      </c>
      <c r="DB111">
        <v>0</v>
      </c>
    </row>
    <row r="112" spans="1:106" x14ac:dyDescent="0.2">
      <c r="A112">
        <f>ROW(Source!A49)</f>
        <v>49</v>
      </c>
      <c r="B112">
        <v>39476960</v>
      </c>
      <c r="C112">
        <v>39477524</v>
      </c>
      <c r="D112">
        <v>36797453</v>
      </c>
      <c r="E112">
        <v>17</v>
      </c>
      <c r="F112">
        <v>1</v>
      </c>
      <c r="G112">
        <v>1</v>
      </c>
      <c r="H112">
        <v>3</v>
      </c>
      <c r="I112" t="s">
        <v>130</v>
      </c>
      <c r="J112" t="s">
        <v>3</v>
      </c>
      <c r="K112" t="s">
        <v>131</v>
      </c>
      <c r="L112">
        <v>1327</v>
      </c>
      <c r="N112">
        <v>1005</v>
      </c>
      <c r="O112" t="s">
        <v>61</v>
      </c>
      <c r="P112" t="s">
        <v>61</v>
      </c>
      <c r="Q112">
        <v>1</v>
      </c>
      <c r="W112">
        <v>0</v>
      </c>
      <c r="X112">
        <v>1109111119</v>
      </c>
      <c r="Y112">
        <v>100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6.13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3</v>
      </c>
      <c r="AT112">
        <v>100</v>
      </c>
      <c r="AU112" t="s">
        <v>3</v>
      </c>
      <c r="AV112">
        <v>0</v>
      </c>
      <c r="AW112">
        <v>2</v>
      </c>
      <c r="AX112">
        <v>39477534</v>
      </c>
      <c r="AY112">
        <v>1</v>
      </c>
      <c r="AZ112">
        <v>0</v>
      </c>
      <c r="BA112">
        <v>108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Y112*Source!I49</f>
        <v>70</v>
      </c>
      <c r="CY112">
        <f t="shared" si="15"/>
        <v>0</v>
      </c>
      <c r="CZ112">
        <f t="shared" si="16"/>
        <v>0</v>
      </c>
      <c r="DA112">
        <f t="shared" si="17"/>
        <v>6.13</v>
      </c>
      <c r="DB112">
        <v>0</v>
      </c>
    </row>
    <row r="113" spans="1:106" x14ac:dyDescent="0.2">
      <c r="A113">
        <f>ROW(Source!A52)</f>
        <v>52</v>
      </c>
      <c r="B113">
        <v>39476960</v>
      </c>
      <c r="C113">
        <v>39477566</v>
      </c>
      <c r="D113">
        <v>37073008</v>
      </c>
      <c r="E113">
        <v>1</v>
      </c>
      <c r="F113">
        <v>1</v>
      </c>
      <c r="G113">
        <v>1</v>
      </c>
      <c r="H113">
        <v>1</v>
      </c>
      <c r="I113" t="s">
        <v>969</v>
      </c>
      <c r="J113" t="s">
        <v>3</v>
      </c>
      <c r="K113" t="s">
        <v>970</v>
      </c>
      <c r="L113">
        <v>1191</v>
      </c>
      <c r="N113">
        <v>1013</v>
      </c>
      <c r="O113" t="s">
        <v>796</v>
      </c>
      <c r="P113" t="s">
        <v>796</v>
      </c>
      <c r="Q113">
        <v>1</v>
      </c>
      <c r="W113">
        <v>0</v>
      </c>
      <c r="X113">
        <v>-1551738770</v>
      </c>
      <c r="Y113">
        <v>63.728399999999986</v>
      </c>
      <c r="AA113">
        <v>0</v>
      </c>
      <c r="AB113">
        <v>0</v>
      </c>
      <c r="AC113">
        <v>0</v>
      </c>
      <c r="AD113">
        <v>69.09</v>
      </c>
      <c r="AE113">
        <v>0</v>
      </c>
      <c r="AF113">
        <v>0</v>
      </c>
      <c r="AG113">
        <v>0</v>
      </c>
      <c r="AH113">
        <v>11.27</v>
      </c>
      <c r="AI113">
        <v>1</v>
      </c>
      <c r="AJ113">
        <v>1</v>
      </c>
      <c r="AK113">
        <v>1</v>
      </c>
      <c r="AL113">
        <v>6.13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46.18</v>
      </c>
      <c r="AU113" t="s">
        <v>54</v>
      </c>
      <c r="AV113">
        <v>1</v>
      </c>
      <c r="AW113">
        <v>2</v>
      </c>
      <c r="AX113">
        <v>39477567</v>
      </c>
      <c r="AY113">
        <v>1</v>
      </c>
      <c r="AZ113">
        <v>0</v>
      </c>
      <c r="BA113">
        <v>109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Y113*Source!I52</f>
        <v>7.9660499999999983</v>
      </c>
      <c r="CY113">
        <f>AD113</f>
        <v>69.09</v>
      </c>
      <c r="CZ113">
        <f>AH113</f>
        <v>11.27</v>
      </c>
      <c r="DA113">
        <f>AL113</f>
        <v>6.13</v>
      </c>
      <c r="DB113">
        <v>0</v>
      </c>
    </row>
    <row r="114" spans="1:106" x14ac:dyDescent="0.2">
      <c r="A114">
        <f>ROW(Source!A52)</f>
        <v>52</v>
      </c>
      <c r="B114">
        <v>39476960</v>
      </c>
      <c r="C114">
        <v>39477566</v>
      </c>
      <c r="D114">
        <v>37064876</v>
      </c>
      <c r="E114">
        <v>1</v>
      </c>
      <c r="F114">
        <v>1</v>
      </c>
      <c r="G114">
        <v>1</v>
      </c>
      <c r="H114">
        <v>1</v>
      </c>
      <c r="I114" t="s">
        <v>797</v>
      </c>
      <c r="J114" t="s">
        <v>3</v>
      </c>
      <c r="K114" t="s">
        <v>798</v>
      </c>
      <c r="L114">
        <v>1191</v>
      </c>
      <c r="N114">
        <v>1013</v>
      </c>
      <c r="O114" t="s">
        <v>796</v>
      </c>
      <c r="P114" t="s">
        <v>796</v>
      </c>
      <c r="Q114">
        <v>1</v>
      </c>
      <c r="W114">
        <v>0</v>
      </c>
      <c r="X114">
        <v>-1417349443</v>
      </c>
      <c r="Y114">
        <v>0.98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6.13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0.98</v>
      </c>
      <c r="AU114" t="s">
        <v>3</v>
      </c>
      <c r="AV114">
        <v>2</v>
      </c>
      <c r="AW114">
        <v>2</v>
      </c>
      <c r="AX114">
        <v>39477568</v>
      </c>
      <c r="AY114">
        <v>1</v>
      </c>
      <c r="AZ114">
        <v>2048</v>
      </c>
      <c r="BA114">
        <v>110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Y114*Source!I52</f>
        <v>0.1225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ROW(Source!A52)</f>
        <v>52</v>
      </c>
      <c r="B115">
        <v>39476960</v>
      </c>
      <c r="C115">
        <v>39477566</v>
      </c>
      <c r="D115">
        <v>36882452</v>
      </c>
      <c r="E115">
        <v>1</v>
      </c>
      <c r="F115">
        <v>1</v>
      </c>
      <c r="G115">
        <v>1</v>
      </c>
      <c r="H115">
        <v>2</v>
      </c>
      <c r="I115" t="s">
        <v>799</v>
      </c>
      <c r="J115" t="s">
        <v>800</v>
      </c>
      <c r="K115" t="s">
        <v>801</v>
      </c>
      <c r="L115">
        <v>1368</v>
      </c>
      <c r="N115">
        <v>1011</v>
      </c>
      <c r="O115" t="s">
        <v>802</v>
      </c>
      <c r="P115" t="s">
        <v>802</v>
      </c>
      <c r="Q115">
        <v>1</v>
      </c>
      <c r="W115">
        <v>0</v>
      </c>
      <c r="X115">
        <v>1188625873</v>
      </c>
      <c r="Y115">
        <v>0.58500000000000008</v>
      </c>
      <c r="AA115">
        <v>0</v>
      </c>
      <c r="AB115">
        <v>191.62</v>
      </c>
      <c r="AC115">
        <v>13.5</v>
      </c>
      <c r="AD115">
        <v>0</v>
      </c>
      <c r="AE115">
        <v>0</v>
      </c>
      <c r="AF115">
        <v>31.26</v>
      </c>
      <c r="AG115">
        <v>13.5</v>
      </c>
      <c r="AH115">
        <v>0</v>
      </c>
      <c r="AI115">
        <v>1</v>
      </c>
      <c r="AJ115">
        <v>6.13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0.39</v>
      </c>
      <c r="AU115" t="s">
        <v>53</v>
      </c>
      <c r="AV115">
        <v>0</v>
      </c>
      <c r="AW115">
        <v>2</v>
      </c>
      <c r="AX115">
        <v>39477569</v>
      </c>
      <c r="AY115">
        <v>1</v>
      </c>
      <c r="AZ115">
        <v>0</v>
      </c>
      <c r="BA115">
        <v>111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Y115*Source!I52</f>
        <v>7.3125000000000009E-2</v>
      </c>
      <c r="CY115">
        <f>AB115</f>
        <v>191.62</v>
      </c>
      <c r="CZ115">
        <f>AF115</f>
        <v>31.26</v>
      </c>
      <c r="DA115">
        <f>AJ115</f>
        <v>6.13</v>
      </c>
      <c r="DB115">
        <v>0</v>
      </c>
    </row>
    <row r="116" spans="1:106" x14ac:dyDescent="0.2">
      <c r="A116">
        <f>ROW(Source!A52)</f>
        <v>52</v>
      </c>
      <c r="B116">
        <v>39476960</v>
      </c>
      <c r="C116">
        <v>39477566</v>
      </c>
      <c r="D116">
        <v>36882787</v>
      </c>
      <c r="E116">
        <v>1</v>
      </c>
      <c r="F116">
        <v>1</v>
      </c>
      <c r="G116">
        <v>1</v>
      </c>
      <c r="H116">
        <v>2</v>
      </c>
      <c r="I116" t="s">
        <v>971</v>
      </c>
      <c r="J116" t="s">
        <v>972</v>
      </c>
      <c r="K116" t="s">
        <v>973</v>
      </c>
      <c r="L116">
        <v>1368</v>
      </c>
      <c r="N116">
        <v>1011</v>
      </c>
      <c r="O116" t="s">
        <v>802</v>
      </c>
      <c r="P116" t="s">
        <v>802</v>
      </c>
      <c r="Q116">
        <v>1</v>
      </c>
      <c r="W116">
        <v>0</v>
      </c>
      <c r="X116">
        <v>520357435</v>
      </c>
      <c r="Y116">
        <v>12.074999999999999</v>
      </c>
      <c r="AA116">
        <v>0</v>
      </c>
      <c r="AB116">
        <v>183.9</v>
      </c>
      <c r="AC116">
        <v>0</v>
      </c>
      <c r="AD116">
        <v>0</v>
      </c>
      <c r="AE116">
        <v>0</v>
      </c>
      <c r="AF116">
        <v>30</v>
      </c>
      <c r="AG116">
        <v>0</v>
      </c>
      <c r="AH116">
        <v>0</v>
      </c>
      <c r="AI116">
        <v>1</v>
      </c>
      <c r="AJ116">
        <v>6.13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8.0500000000000007</v>
      </c>
      <c r="AU116" t="s">
        <v>53</v>
      </c>
      <c r="AV116">
        <v>0</v>
      </c>
      <c r="AW116">
        <v>2</v>
      </c>
      <c r="AX116">
        <v>39477570</v>
      </c>
      <c r="AY116">
        <v>1</v>
      </c>
      <c r="AZ116">
        <v>0</v>
      </c>
      <c r="BA116">
        <v>112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Y116*Source!I52</f>
        <v>1.5093749999999999</v>
      </c>
      <c r="CY116">
        <f>AB116</f>
        <v>183.9</v>
      </c>
      <c r="CZ116">
        <f>AF116</f>
        <v>30</v>
      </c>
      <c r="DA116">
        <f>AJ116</f>
        <v>6.13</v>
      </c>
      <c r="DB116">
        <v>0</v>
      </c>
    </row>
    <row r="117" spans="1:106" x14ac:dyDescent="0.2">
      <c r="A117">
        <f>ROW(Source!A52)</f>
        <v>52</v>
      </c>
      <c r="B117">
        <v>39476960</v>
      </c>
      <c r="C117">
        <v>39477566</v>
      </c>
      <c r="D117">
        <v>36883554</v>
      </c>
      <c r="E117">
        <v>1</v>
      </c>
      <c r="F117">
        <v>1</v>
      </c>
      <c r="G117">
        <v>1</v>
      </c>
      <c r="H117">
        <v>2</v>
      </c>
      <c r="I117" t="s">
        <v>834</v>
      </c>
      <c r="J117" t="s">
        <v>835</v>
      </c>
      <c r="K117" t="s">
        <v>836</v>
      </c>
      <c r="L117">
        <v>1368</v>
      </c>
      <c r="N117">
        <v>1011</v>
      </c>
      <c r="O117" t="s">
        <v>802</v>
      </c>
      <c r="P117" t="s">
        <v>802</v>
      </c>
      <c r="Q117">
        <v>1</v>
      </c>
      <c r="W117">
        <v>0</v>
      </c>
      <c r="X117">
        <v>1372534845</v>
      </c>
      <c r="Y117">
        <v>0.8849999999999999</v>
      </c>
      <c r="AA117">
        <v>0</v>
      </c>
      <c r="AB117">
        <v>402.8</v>
      </c>
      <c r="AC117">
        <v>11.6</v>
      </c>
      <c r="AD117">
        <v>0</v>
      </c>
      <c r="AE117">
        <v>0</v>
      </c>
      <c r="AF117">
        <v>65.709999999999994</v>
      </c>
      <c r="AG117">
        <v>11.6</v>
      </c>
      <c r="AH117">
        <v>0</v>
      </c>
      <c r="AI117">
        <v>1</v>
      </c>
      <c r="AJ117">
        <v>6.13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0.59</v>
      </c>
      <c r="AU117" t="s">
        <v>53</v>
      </c>
      <c r="AV117">
        <v>0</v>
      </c>
      <c r="AW117">
        <v>2</v>
      </c>
      <c r="AX117">
        <v>39477571</v>
      </c>
      <c r="AY117">
        <v>1</v>
      </c>
      <c r="AZ117">
        <v>0</v>
      </c>
      <c r="BA117">
        <v>113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Y117*Source!I52</f>
        <v>0.11062499999999999</v>
      </c>
      <c r="CY117">
        <f>AB117</f>
        <v>402.8</v>
      </c>
      <c r="CZ117">
        <f>AF117</f>
        <v>65.709999999999994</v>
      </c>
      <c r="DA117">
        <f>AJ117</f>
        <v>6.13</v>
      </c>
      <c r="DB117">
        <v>0</v>
      </c>
    </row>
    <row r="118" spans="1:106" x14ac:dyDescent="0.2">
      <c r="A118">
        <f>ROW(Source!A52)</f>
        <v>52</v>
      </c>
      <c r="B118">
        <v>39476960</v>
      </c>
      <c r="C118">
        <v>39477566</v>
      </c>
      <c r="D118">
        <v>36884709</v>
      </c>
      <c r="E118">
        <v>1</v>
      </c>
      <c r="F118">
        <v>1</v>
      </c>
      <c r="G118">
        <v>1</v>
      </c>
      <c r="H118">
        <v>2</v>
      </c>
      <c r="I118" t="s">
        <v>974</v>
      </c>
      <c r="J118" t="s">
        <v>975</v>
      </c>
      <c r="K118" t="s">
        <v>976</v>
      </c>
      <c r="L118">
        <v>1368</v>
      </c>
      <c r="N118">
        <v>1011</v>
      </c>
      <c r="O118" t="s">
        <v>802</v>
      </c>
      <c r="P118" t="s">
        <v>802</v>
      </c>
      <c r="Q118">
        <v>1</v>
      </c>
      <c r="W118">
        <v>0</v>
      </c>
      <c r="X118">
        <v>-53362720</v>
      </c>
      <c r="Y118">
        <v>9</v>
      </c>
      <c r="AA118">
        <v>0</v>
      </c>
      <c r="AB118">
        <v>16.55</v>
      </c>
      <c r="AC118">
        <v>0</v>
      </c>
      <c r="AD118">
        <v>0</v>
      </c>
      <c r="AE118">
        <v>0</v>
      </c>
      <c r="AF118">
        <v>2.7</v>
      </c>
      <c r="AG118">
        <v>0</v>
      </c>
      <c r="AH118">
        <v>0</v>
      </c>
      <c r="AI118">
        <v>1</v>
      </c>
      <c r="AJ118">
        <v>6.13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6</v>
      </c>
      <c r="AU118" t="s">
        <v>53</v>
      </c>
      <c r="AV118">
        <v>0</v>
      </c>
      <c r="AW118">
        <v>2</v>
      </c>
      <c r="AX118">
        <v>39477572</v>
      </c>
      <c r="AY118">
        <v>1</v>
      </c>
      <c r="AZ118">
        <v>0</v>
      </c>
      <c r="BA118">
        <v>114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Y118*Source!I52</f>
        <v>1.125</v>
      </c>
      <c r="CY118">
        <f>AB118</f>
        <v>16.55</v>
      </c>
      <c r="CZ118">
        <f>AF118</f>
        <v>2.7</v>
      </c>
      <c r="DA118">
        <f>AJ118</f>
        <v>6.13</v>
      </c>
      <c r="DB118">
        <v>0</v>
      </c>
    </row>
    <row r="119" spans="1:106" x14ac:dyDescent="0.2">
      <c r="A119">
        <f>ROW(Source!A52)</f>
        <v>52</v>
      </c>
      <c r="B119">
        <v>39476960</v>
      </c>
      <c r="C119">
        <v>39477566</v>
      </c>
      <c r="D119">
        <v>36799816</v>
      </c>
      <c r="E119">
        <v>1</v>
      </c>
      <c r="F119">
        <v>1</v>
      </c>
      <c r="G119">
        <v>1</v>
      </c>
      <c r="H119">
        <v>3</v>
      </c>
      <c r="I119" t="s">
        <v>977</v>
      </c>
      <c r="J119" t="s">
        <v>978</v>
      </c>
      <c r="K119" t="s">
        <v>979</v>
      </c>
      <c r="L119">
        <v>1348</v>
      </c>
      <c r="N119">
        <v>1009</v>
      </c>
      <c r="O119" t="s">
        <v>34</v>
      </c>
      <c r="P119" t="s">
        <v>34</v>
      </c>
      <c r="Q119">
        <v>1000</v>
      </c>
      <c r="W119">
        <v>0</v>
      </c>
      <c r="X119">
        <v>-1006529954</v>
      </c>
      <c r="Y119">
        <v>1.4E-2</v>
      </c>
      <c r="AA119">
        <v>7110.8</v>
      </c>
      <c r="AB119">
        <v>0</v>
      </c>
      <c r="AC119">
        <v>0</v>
      </c>
      <c r="AD119">
        <v>0</v>
      </c>
      <c r="AE119">
        <v>1160</v>
      </c>
      <c r="AF119">
        <v>0</v>
      </c>
      <c r="AG119">
        <v>0</v>
      </c>
      <c r="AH119">
        <v>0</v>
      </c>
      <c r="AI119">
        <v>6.13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1.4E-2</v>
      </c>
      <c r="AU119" t="s">
        <v>3</v>
      </c>
      <c r="AV119">
        <v>0</v>
      </c>
      <c r="AW119">
        <v>2</v>
      </c>
      <c r="AX119">
        <v>39477573</v>
      </c>
      <c r="AY119">
        <v>1</v>
      </c>
      <c r="AZ119">
        <v>0</v>
      </c>
      <c r="BA119">
        <v>115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Y119*Source!I52</f>
        <v>1.75E-3</v>
      </c>
      <c r="CY119">
        <f t="shared" ref="CY119:CY126" si="18">AA119</f>
        <v>7110.8</v>
      </c>
      <c r="CZ119">
        <f t="shared" ref="CZ119:CZ126" si="19">AE119</f>
        <v>1160</v>
      </c>
      <c r="DA119">
        <f t="shared" ref="DA119:DA126" si="20">AI119</f>
        <v>6.13</v>
      </c>
      <c r="DB119">
        <v>0</v>
      </c>
    </row>
    <row r="120" spans="1:106" x14ac:dyDescent="0.2">
      <c r="A120">
        <f>ROW(Source!A52)</f>
        <v>52</v>
      </c>
      <c r="B120">
        <v>39476960</v>
      </c>
      <c r="C120">
        <v>39477566</v>
      </c>
      <c r="D120">
        <v>36799852</v>
      </c>
      <c r="E120">
        <v>1</v>
      </c>
      <c r="F120">
        <v>1</v>
      </c>
      <c r="G120">
        <v>1</v>
      </c>
      <c r="H120">
        <v>3</v>
      </c>
      <c r="I120" t="s">
        <v>980</v>
      </c>
      <c r="J120" t="s">
        <v>981</v>
      </c>
      <c r="K120" t="s">
        <v>982</v>
      </c>
      <c r="L120">
        <v>1348</v>
      </c>
      <c r="N120">
        <v>1009</v>
      </c>
      <c r="O120" t="s">
        <v>34</v>
      </c>
      <c r="P120" t="s">
        <v>34</v>
      </c>
      <c r="Q120">
        <v>1000</v>
      </c>
      <c r="W120">
        <v>0</v>
      </c>
      <c r="X120">
        <v>243290531</v>
      </c>
      <c r="Y120">
        <v>5.7000000000000002E-2</v>
      </c>
      <c r="AA120">
        <v>9351.32</v>
      </c>
      <c r="AB120">
        <v>0</v>
      </c>
      <c r="AC120">
        <v>0</v>
      </c>
      <c r="AD120">
        <v>0</v>
      </c>
      <c r="AE120">
        <v>1525.5</v>
      </c>
      <c r="AF120">
        <v>0</v>
      </c>
      <c r="AG120">
        <v>0</v>
      </c>
      <c r="AH120">
        <v>0</v>
      </c>
      <c r="AI120">
        <v>6.13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5.7000000000000002E-2</v>
      </c>
      <c r="AU120" t="s">
        <v>3</v>
      </c>
      <c r="AV120">
        <v>0</v>
      </c>
      <c r="AW120">
        <v>2</v>
      </c>
      <c r="AX120">
        <v>39477574</v>
      </c>
      <c r="AY120">
        <v>1</v>
      </c>
      <c r="AZ120">
        <v>0</v>
      </c>
      <c r="BA120">
        <v>116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Y120*Source!I52</f>
        <v>7.1250000000000003E-3</v>
      </c>
      <c r="CY120">
        <f t="shared" si="18"/>
        <v>9351.32</v>
      </c>
      <c r="CZ120">
        <f t="shared" si="19"/>
        <v>1525.5</v>
      </c>
      <c r="DA120">
        <f t="shared" si="20"/>
        <v>6.13</v>
      </c>
      <c r="DB120">
        <v>0</v>
      </c>
    </row>
    <row r="121" spans="1:106" x14ac:dyDescent="0.2">
      <c r="A121">
        <f>ROW(Source!A52)</f>
        <v>52</v>
      </c>
      <c r="B121">
        <v>39476960</v>
      </c>
      <c r="C121">
        <v>39477566</v>
      </c>
      <c r="D121">
        <v>36799854</v>
      </c>
      <c r="E121">
        <v>1</v>
      </c>
      <c r="F121">
        <v>1</v>
      </c>
      <c r="G121">
        <v>1</v>
      </c>
      <c r="H121">
        <v>3</v>
      </c>
      <c r="I121" t="s">
        <v>983</v>
      </c>
      <c r="J121" t="s">
        <v>984</v>
      </c>
      <c r="K121" t="s">
        <v>985</v>
      </c>
      <c r="L121">
        <v>1348</v>
      </c>
      <c r="N121">
        <v>1009</v>
      </c>
      <c r="O121" t="s">
        <v>34</v>
      </c>
      <c r="P121" t="s">
        <v>34</v>
      </c>
      <c r="Q121">
        <v>1000</v>
      </c>
      <c r="W121">
        <v>0</v>
      </c>
      <c r="X121">
        <v>110322092</v>
      </c>
      <c r="Y121">
        <v>0.28899999999999998</v>
      </c>
      <c r="AA121">
        <v>8478.4</v>
      </c>
      <c r="AB121">
        <v>0</v>
      </c>
      <c r="AC121">
        <v>0</v>
      </c>
      <c r="AD121">
        <v>0</v>
      </c>
      <c r="AE121">
        <v>1383.1</v>
      </c>
      <c r="AF121">
        <v>0</v>
      </c>
      <c r="AG121">
        <v>0</v>
      </c>
      <c r="AH121">
        <v>0</v>
      </c>
      <c r="AI121">
        <v>6.13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0.28899999999999998</v>
      </c>
      <c r="AU121" t="s">
        <v>3</v>
      </c>
      <c r="AV121">
        <v>0</v>
      </c>
      <c r="AW121">
        <v>2</v>
      </c>
      <c r="AX121">
        <v>39477575</v>
      </c>
      <c r="AY121">
        <v>1</v>
      </c>
      <c r="AZ121">
        <v>0</v>
      </c>
      <c r="BA121">
        <v>117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Y121*Source!I52</f>
        <v>3.6124999999999997E-2</v>
      </c>
      <c r="CY121">
        <f t="shared" si="18"/>
        <v>8478.4</v>
      </c>
      <c r="CZ121">
        <f t="shared" si="19"/>
        <v>1383.1</v>
      </c>
      <c r="DA121">
        <f t="shared" si="20"/>
        <v>6.13</v>
      </c>
      <c r="DB121">
        <v>0</v>
      </c>
    </row>
    <row r="122" spans="1:106" x14ac:dyDescent="0.2">
      <c r="A122">
        <f>ROW(Source!A52)</f>
        <v>52</v>
      </c>
      <c r="B122">
        <v>39476960</v>
      </c>
      <c r="C122">
        <v>39477566</v>
      </c>
      <c r="D122">
        <v>36800038</v>
      </c>
      <c r="E122">
        <v>1</v>
      </c>
      <c r="F122">
        <v>1</v>
      </c>
      <c r="G122">
        <v>1</v>
      </c>
      <c r="H122">
        <v>3</v>
      </c>
      <c r="I122" t="s">
        <v>986</v>
      </c>
      <c r="J122" t="s">
        <v>987</v>
      </c>
      <c r="K122" t="s">
        <v>988</v>
      </c>
      <c r="L122">
        <v>1348</v>
      </c>
      <c r="N122">
        <v>1009</v>
      </c>
      <c r="O122" t="s">
        <v>34</v>
      </c>
      <c r="P122" t="s">
        <v>34</v>
      </c>
      <c r="Q122">
        <v>1000</v>
      </c>
      <c r="W122">
        <v>0</v>
      </c>
      <c r="X122">
        <v>-1414849288</v>
      </c>
      <c r="Y122">
        <v>9.5000000000000001E-2</v>
      </c>
      <c r="AA122">
        <v>37661.49</v>
      </c>
      <c r="AB122">
        <v>0</v>
      </c>
      <c r="AC122">
        <v>0</v>
      </c>
      <c r="AD122">
        <v>0</v>
      </c>
      <c r="AE122">
        <v>6143.8</v>
      </c>
      <c r="AF122">
        <v>0</v>
      </c>
      <c r="AG122">
        <v>0</v>
      </c>
      <c r="AH122">
        <v>0</v>
      </c>
      <c r="AI122">
        <v>6.13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9.5000000000000001E-2</v>
      </c>
      <c r="AU122" t="s">
        <v>3</v>
      </c>
      <c r="AV122">
        <v>0</v>
      </c>
      <c r="AW122">
        <v>2</v>
      </c>
      <c r="AX122">
        <v>39477576</v>
      </c>
      <c r="AY122">
        <v>1</v>
      </c>
      <c r="AZ122">
        <v>0</v>
      </c>
      <c r="BA122">
        <v>118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Y122*Source!I52</f>
        <v>1.1875E-2</v>
      </c>
      <c r="CY122">
        <f t="shared" si="18"/>
        <v>37661.49</v>
      </c>
      <c r="CZ122">
        <f t="shared" si="19"/>
        <v>6143.8</v>
      </c>
      <c r="DA122">
        <f t="shared" si="20"/>
        <v>6.13</v>
      </c>
      <c r="DB122">
        <v>0</v>
      </c>
    </row>
    <row r="123" spans="1:106" x14ac:dyDescent="0.2">
      <c r="A123">
        <f>ROW(Source!A52)</f>
        <v>52</v>
      </c>
      <c r="B123">
        <v>39476960</v>
      </c>
      <c r="C123">
        <v>39477566</v>
      </c>
      <c r="D123">
        <v>36802309</v>
      </c>
      <c r="E123">
        <v>1</v>
      </c>
      <c r="F123">
        <v>1</v>
      </c>
      <c r="G123">
        <v>1</v>
      </c>
      <c r="H123">
        <v>3</v>
      </c>
      <c r="I123" t="s">
        <v>989</v>
      </c>
      <c r="J123" t="s">
        <v>990</v>
      </c>
      <c r="K123" t="s">
        <v>991</v>
      </c>
      <c r="L123">
        <v>1348</v>
      </c>
      <c r="N123">
        <v>1009</v>
      </c>
      <c r="O123" t="s">
        <v>34</v>
      </c>
      <c r="P123" t="s">
        <v>34</v>
      </c>
      <c r="Q123">
        <v>1000</v>
      </c>
      <c r="W123">
        <v>0</v>
      </c>
      <c r="X123">
        <v>-956606579</v>
      </c>
      <c r="Y123">
        <v>0.23100000000000001</v>
      </c>
      <c r="AA123">
        <v>4222.34</v>
      </c>
      <c r="AB123">
        <v>0</v>
      </c>
      <c r="AC123">
        <v>0</v>
      </c>
      <c r="AD123">
        <v>0</v>
      </c>
      <c r="AE123">
        <v>688.8</v>
      </c>
      <c r="AF123">
        <v>0</v>
      </c>
      <c r="AG123">
        <v>0</v>
      </c>
      <c r="AH123">
        <v>0</v>
      </c>
      <c r="AI123">
        <v>6.13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0.23100000000000001</v>
      </c>
      <c r="AU123" t="s">
        <v>3</v>
      </c>
      <c r="AV123">
        <v>0</v>
      </c>
      <c r="AW123">
        <v>2</v>
      </c>
      <c r="AX123">
        <v>39477577</v>
      </c>
      <c r="AY123">
        <v>1</v>
      </c>
      <c r="AZ123">
        <v>0</v>
      </c>
      <c r="BA123">
        <v>119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Y123*Source!I52</f>
        <v>2.8875000000000001E-2</v>
      </c>
      <c r="CY123">
        <f t="shared" si="18"/>
        <v>4222.34</v>
      </c>
      <c r="CZ123">
        <f t="shared" si="19"/>
        <v>688.8</v>
      </c>
      <c r="DA123">
        <f t="shared" si="20"/>
        <v>6.13</v>
      </c>
      <c r="DB123">
        <v>0</v>
      </c>
    </row>
    <row r="124" spans="1:106" x14ac:dyDescent="0.2">
      <c r="A124">
        <f>ROW(Source!A52)</f>
        <v>52</v>
      </c>
      <c r="B124">
        <v>39476960</v>
      </c>
      <c r="C124">
        <v>39477566</v>
      </c>
      <c r="D124">
        <v>36805524</v>
      </c>
      <c r="E124">
        <v>1</v>
      </c>
      <c r="F124">
        <v>1</v>
      </c>
      <c r="G124">
        <v>1</v>
      </c>
      <c r="H124">
        <v>3</v>
      </c>
      <c r="I124" t="s">
        <v>960</v>
      </c>
      <c r="J124" t="s">
        <v>961</v>
      </c>
      <c r="K124" t="s">
        <v>962</v>
      </c>
      <c r="L124">
        <v>1346</v>
      </c>
      <c r="N124">
        <v>1009</v>
      </c>
      <c r="O124" t="s">
        <v>217</v>
      </c>
      <c r="P124" t="s">
        <v>217</v>
      </c>
      <c r="Q124">
        <v>1</v>
      </c>
      <c r="W124">
        <v>0</v>
      </c>
      <c r="X124">
        <v>813963326</v>
      </c>
      <c r="Y124">
        <v>0.5</v>
      </c>
      <c r="AA124">
        <v>11.16</v>
      </c>
      <c r="AB124">
        <v>0</v>
      </c>
      <c r="AC124">
        <v>0</v>
      </c>
      <c r="AD124">
        <v>0</v>
      </c>
      <c r="AE124">
        <v>1.82</v>
      </c>
      <c r="AF124">
        <v>0</v>
      </c>
      <c r="AG124">
        <v>0</v>
      </c>
      <c r="AH124">
        <v>0</v>
      </c>
      <c r="AI124">
        <v>6.13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0.5</v>
      </c>
      <c r="AU124" t="s">
        <v>3</v>
      </c>
      <c r="AV124">
        <v>0</v>
      </c>
      <c r="AW124">
        <v>2</v>
      </c>
      <c r="AX124">
        <v>39477578</v>
      </c>
      <c r="AY124">
        <v>1</v>
      </c>
      <c r="AZ124">
        <v>0</v>
      </c>
      <c r="BA124">
        <v>120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Y124*Source!I52</f>
        <v>6.25E-2</v>
      </c>
      <c r="CY124">
        <f t="shared" si="18"/>
        <v>11.16</v>
      </c>
      <c r="CZ124">
        <f t="shared" si="19"/>
        <v>1.82</v>
      </c>
      <c r="DA124">
        <f t="shared" si="20"/>
        <v>6.13</v>
      </c>
      <c r="DB124">
        <v>0</v>
      </c>
    </row>
    <row r="125" spans="1:106" x14ac:dyDescent="0.2">
      <c r="A125">
        <f>ROW(Source!A52)</f>
        <v>52</v>
      </c>
      <c r="B125">
        <v>39476960</v>
      </c>
      <c r="C125">
        <v>39477566</v>
      </c>
      <c r="D125">
        <v>36797131</v>
      </c>
      <c r="E125">
        <v>17</v>
      </c>
      <c r="F125">
        <v>1</v>
      </c>
      <c r="G125">
        <v>1</v>
      </c>
      <c r="H125">
        <v>3</v>
      </c>
      <c r="I125" t="s">
        <v>143</v>
      </c>
      <c r="J125" t="s">
        <v>3</v>
      </c>
      <c r="K125" t="s">
        <v>144</v>
      </c>
      <c r="L125">
        <v>1327</v>
      </c>
      <c r="N125">
        <v>1005</v>
      </c>
      <c r="O125" t="s">
        <v>61</v>
      </c>
      <c r="P125" t="s">
        <v>61</v>
      </c>
      <c r="Q125">
        <v>1</v>
      </c>
      <c r="W125">
        <v>0</v>
      </c>
      <c r="X125">
        <v>-1670135999</v>
      </c>
      <c r="Y125">
        <v>116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6.13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3</v>
      </c>
      <c r="AT125">
        <v>116</v>
      </c>
      <c r="AU125" t="s">
        <v>3</v>
      </c>
      <c r="AV125">
        <v>0</v>
      </c>
      <c r="AW125">
        <v>2</v>
      </c>
      <c r="AX125">
        <v>39477579</v>
      </c>
      <c r="AY125">
        <v>1</v>
      </c>
      <c r="AZ125">
        <v>0</v>
      </c>
      <c r="BA125">
        <v>121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Y125*Source!I52</f>
        <v>14.5</v>
      </c>
      <c r="CY125">
        <f t="shared" si="18"/>
        <v>0</v>
      </c>
      <c r="CZ125">
        <f t="shared" si="19"/>
        <v>0</v>
      </c>
      <c r="DA125">
        <f t="shared" si="20"/>
        <v>6.13</v>
      </c>
      <c r="DB125">
        <v>0</v>
      </c>
    </row>
    <row r="126" spans="1:106" x14ac:dyDescent="0.2">
      <c r="A126">
        <f>ROW(Source!A52)</f>
        <v>52</v>
      </c>
      <c r="B126">
        <v>39476960</v>
      </c>
      <c r="C126">
        <v>39477566</v>
      </c>
      <c r="D126">
        <v>36833480</v>
      </c>
      <c r="E126">
        <v>1</v>
      </c>
      <c r="F126">
        <v>1</v>
      </c>
      <c r="G126">
        <v>1</v>
      </c>
      <c r="H126">
        <v>3</v>
      </c>
      <c r="I126" t="s">
        <v>139</v>
      </c>
      <c r="J126" t="s">
        <v>141</v>
      </c>
      <c r="K126" t="s">
        <v>140</v>
      </c>
      <c r="L126">
        <v>1327</v>
      </c>
      <c r="N126">
        <v>1005</v>
      </c>
      <c r="O126" t="s">
        <v>61</v>
      </c>
      <c r="P126" t="s">
        <v>61</v>
      </c>
      <c r="Q126">
        <v>1</v>
      </c>
      <c r="W126">
        <v>0</v>
      </c>
      <c r="X126">
        <v>-1969206199</v>
      </c>
      <c r="Y126">
        <v>116</v>
      </c>
      <c r="AA126">
        <v>340.77</v>
      </c>
      <c r="AB126">
        <v>0</v>
      </c>
      <c r="AC126">
        <v>0</v>
      </c>
      <c r="AD126">
        <v>0</v>
      </c>
      <c r="AE126">
        <v>55.59</v>
      </c>
      <c r="AF126">
        <v>0</v>
      </c>
      <c r="AG126">
        <v>0</v>
      </c>
      <c r="AH126">
        <v>0</v>
      </c>
      <c r="AI126">
        <v>6.13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3</v>
      </c>
      <c r="AT126">
        <v>116</v>
      </c>
      <c r="AU126" t="s">
        <v>3</v>
      </c>
      <c r="AV126">
        <v>0</v>
      </c>
      <c r="AW126">
        <v>1</v>
      </c>
      <c r="AX126">
        <v>-1</v>
      </c>
      <c r="AY126">
        <v>0</v>
      </c>
      <c r="AZ126">
        <v>0</v>
      </c>
      <c r="BA126" t="s">
        <v>3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Y126*Source!I52</f>
        <v>14.5</v>
      </c>
      <c r="CY126">
        <f t="shared" si="18"/>
        <v>340.77</v>
      </c>
      <c r="CZ126">
        <f t="shared" si="19"/>
        <v>55.59</v>
      </c>
      <c r="DA126">
        <f t="shared" si="20"/>
        <v>6.13</v>
      </c>
      <c r="DB126">
        <v>0</v>
      </c>
    </row>
    <row r="127" spans="1:106" x14ac:dyDescent="0.2">
      <c r="A127">
        <f>ROW(Source!A55)</f>
        <v>55</v>
      </c>
      <c r="B127">
        <v>39476960</v>
      </c>
      <c r="C127">
        <v>39477552</v>
      </c>
      <c r="D127">
        <v>37071037</v>
      </c>
      <c r="E127">
        <v>1</v>
      </c>
      <c r="F127">
        <v>1</v>
      </c>
      <c r="G127">
        <v>1</v>
      </c>
      <c r="H127">
        <v>1</v>
      </c>
      <c r="I127" t="s">
        <v>992</v>
      </c>
      <c r="J127" t="s">
        <v>3</v>
      </c>
      <c r="K127" t="s">
        <v>993</v>
      </c>
      <c r="L127">
        <v>1191</v>
      </c>
      <c r="N127">
        <v>1013</v>
      </c>
      <c r="O127" t="s">
        <v>796</v>
      </c>
      <c r="P127" t="s">
        <v>796</v>
      </c>
      <c r="Q127">
        <v>1</v>
      </c>
      <c r="W127">
        <v>0</v>
      </c>
      <c r="X127">
        <v>1069510174</v>
      </c>
      <c r="Y127">
        <v>26.454599999999999</v>
      </c>
      <c r="AA127">
        <v>0</v>
      </c>
      <c r="AB127">
        <v>0</v>
      </c>
      <c r="AC127">
        <v>0</v>
      </c>
      <c r="AD127">
        <v>58.97</v>
      </c>
      <c r="AE127">
        <v>0</v>
      </c>
      <c r="AF127">
        <v>0</v>
      </c>
      <c r="AG127">
        <v>0</v>
      </c>
      <c r="AH127">
        <v>9.6199999999999992</v>
      </c>
      <c r="AI127">
        <v>1</v>
      </c>
      <c r="AJ127">
        <v>1</v>
      </c>
      <c r="AK127">
        <v>1</v>
      </c>
      <c r="AL127">
        <v>6.13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19.170000000000002</v>
      </c>
      <c r="AU127" t="s">
        <v>54</v>
      </c>
      <c r="AV127">
        <v>1</v>
      </c>
      <c r="AW127">
        <v>2</v>
      </c>
      <c r="AX127">
        <v>39477553</v>
      </c>
      <c r="AY127">
        <v>1</v>
      </c>
      <c r="AZ127">
        <v>0</v>
      </c>
      <c r="BA127">
        <v>122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Y127*Source!I55</f>
        <v>2.116368</v>
      </c>
      <c r="CY127">
        <f>AD127</f>
        <v>58.97</v>
      </c>
      <c r="CZ127">
        <f>AH127</f>
        <v>9.6199999999999992</v>
      </c>
      <c r="DA127">
        <f>AL127</f>
        <v>6.13</v>
      </c>
      <c r="DB127">
        <v>0</v>
      </c>
    </row>
    <row r="128" spans="1:106" x14ac:dyDescent="0.2">
      <c r="A128">
        <f>ROW(Source!A55)</f>
        <v>55</v>
      </c>
      <c r="B128">
        <v>39476960</v>
      </c>
      <c r="C128">
        <v>39477552</v>
      </c>
      <c r="D128">
        <v>37064876</v>
      </c>
      <c r="E128">
        <v>1</v>
      </c>
      <c r="F128">
        <v>1</v>
      </c>
      <c r="G128">
        <v>1</v>
      </c>
      <c r="H128">
        <v>1</v>
      </c>
      <c r="I128" t="s">
        <v>797</v>
      </c>
      <c r="J128" t="s">
        <v>3</v>
      </c>
      <c r="K128" t="s">
        <v>798</v>
      </c>
      <c r="L128">
        <v>1191</v>
      </c>
      <c r="N128">
        <v>1013</v>
      </c>
      <c r="O128" t="s">
        <v>796</v>
      </c>
      <c r="P128" t="s">
        <v>796</v>
      </c>
      <c r="Q128">
        <v>1</v>
      </c>
      <c r="W128">
        <v>0</v>
      </c>
      <c r="X128">
        <v>-1417349443</v>
      </c>
      <c r="Y128">
        <v>0.02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6.13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0.02</v>
      </c>
      <c r="AU128" t="s">
        <v>3</v>
      </c>
      <c r="AV128">
        <v>2</v>
      </c>
      <c r="AW128">
        <v>2</v>
      </c>
      <c r="AX128">
        <v>39477554</v>
      </c>
      <c r="AY128">
        <v>1</v>
      </c>
      <c r="AZ128">
        <v>2048</v>
      </c>
      <c r="BA128">
        <v>123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Y128*Source!I55</f>
        <v>1.6000000000000001E-3</v>
      </c>
      <c r="CY128">
        <f>AD128</f>
        <v>0</v>
      </c>
      <c r="CZ128">
        <f>AH128</f>
        <v>0</v>
      </c>
      <c r="DA128">
        <f>AL128</f>
        <v>1</v>
      </c>
      <c r="DB128">
        <v>0</v>
      </c>
    </row>
    <row r="129" spans="1:106" x14ac:dyDescent="0.2">
      <c r="A129">
        <f>ROW(Source!A55)</f>
        <v>55</v>
      </c>
      <c r="B129">
        <v>39476960</v>
      </c>
      <c r="C129">
        <v>39477552</v>
      </c>
      <c r="D129">
        <v>36882452</v>
      </c>
      <c r="E129">
        <v>1</v>
      </c>
      <c r="F129">
        <v>1</v>
      </c>
      <c r="G129">
        <v>1</v>
      </c>
      <c r="H129">
        <v>2</v>
      </c>
      <c r="I129" t="s">
        <v>799</v>
      </c>
      <c r="J129" t="s">
        <v>800</v>
      </c>
      <c r="K129" t="s">
        <v>801</v>
      </c>
      <c r="L129">
        <v>1368</v>
      </c>
      <c r="N129">
        <v>1011</v>
      </c>
      <c r="O129" t="s">
        <v>802</v>
      </c>
      <c r="P129" t="s">
        <v>802</v>
      </c>
      <c r="Q129">
        <v>1</v>
      </c>
      <c r="W129">
        <v>0</v>
      </c>
      <c r="X129">
        <v>1188625873</v>
      </c>
      <c r="Y129">
        <v>4.4999999999999993E-4</v>
      </c>
      <c r="AA129">
        <v>0</v>
      </c>
      <c r="AB129">
        <v>191.62</v>
      </c>
      <c r="AC129">
        <v>13.5</v>
      </c>
      <c r="AD129">
        <v>0</v>
      </c>
      <c r="AE129">
        <v>0</v>
      </c>
      <c r="AF129">
        <v>31.26</v>
      </c>
      <c r="AG129">
        <v>13.5</v>
      </c>
      <c r="AH129">
        <v>0</v>
      </c>
      <c r="AI129">
        <v>1</v>
      </c>
      <c r="AJ129">
        <v>6.13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2.9999999999999997E-4</v>
      </c>
      <c r="AU129" t="s">
        <v>53</v>
      </c>
      <c r="AV129">
        <v>0</v>
      </c>
      <c r="AW129">
        <v>2</v>
      </c>
      <c r="AX129">
        <v>39477555</v>
      </c>
      <c r="AY129">
        <v>1</v>
      </c>
      <c r="AZ129">
        <v>0</v>
      </c>
      <c r="BA129">
        <v>124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Y129*Source!I55</f>
        <v>3.5999999999999994E-5</v>
      </c>
      <c r="CY129">
        <f>AB129</f>
        <v>191.62</v>
      </c>
      <c r="CZ129">
        <f>AF129</f>
        <v>31.26</v>
      </c>
      <c r="DA129">
        <f>AJ129</f>
        <v>6.13</v>
      </c>
      <c r="DB129">
        <v>0</v>
      </c>
    </row>
    <row r="130" spans="1:106" x14ac:dyDescent="0.2">
      <c r="A130">
        <f>ROW(Source!A55)</f>
        <v>55</v>
      </c>
      <c r="B130">
        <v>39476960</v>
      </c>
      <c r="C130">
        <v>39477552</v>
      </c>
      <c r="D130">
        <v>36883554</v>
      </c>
      <c r="E130">
        <v>1</v>
      </c>
      <c r="F130">
        <v>1</v>
      </c>
      <c r="G130">
        <v>1</v>
      </c>
      <c r="H130">
        <v>2</v>
      </c>
      <c r="I130" t="s">
        <v>834</v>
      </c>
      <c r="J130" t="s">
        <v>835</v>
      </c>
      <c r="K130" t="s">
        <v>836</v>
      </c>
      <c r="L130">
        <v>1368</v>
      </c>
      <c r="N130">
        <v>1011</v>
      </c>
      <c r="O130" t="s">
        <v>802</v>
      </c>
      <c r="P130" t="s">
        <v>802</v>
      </c>
      <c r="Q130">
        <v>1</v>
      </c>
      <c r="W130">
        <v>0</v>
      </c>
      <c r="X130">
        <v>1372534845</v>
      </c>
      <c r="Y130">
        <v>0.03</v>
      </c>
      <c r="AA130">
        <v>0</v>
      </c>
      <c r="AB130">
        <v>402.8</v>
      </c>
      <c r="AC130">
        <v>11.6</v>
      </c>
      <c r="AD130">
        <v>0</v>
      </c>
      <c r="AE130">
        <v>0</v>
      </c>
      <c r="AF130">
        <v>65.709999999999994</v>
      </c>
      <c r="AG130">
        <v>11.6</v>
      </c>
      <c r="AH130">
        <v>0</v>
      </c>
      <c r="AI130">
        <v>1</v>
      </c>
      <c r="AJ130">
        <v>6.13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0.02</v>
      </c>
      <c r="AU130" t="s">
        <v>53</v>
      </c>
      <c r="AV130">
        <v>0</v>
      </c>
      <c r="AW130">
        <v>2</v>
      </c>
      <c r="AX130">
        <v>39477556</v>
      </c>
      <c r="AY130">
        <v>1</v>
      </c>
      <c r="AZ130">
        <v>0</v>
      </c>
      <c r="BA130">
        <v>125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Y130*Source!I55</f>
        <v>2.3999999999999998E-3</v>
      </c>
      <c r="CY130">
        <f>AB130</f>
        <v>402.8</v>
      </c>
      <c r="CZ130">
        <f>AF130</f>
        <v>65.709999999999994</v>
      </c>
      <c r="DA130">
        <f>AJ130</f>
        <v>6.13</v>
      </c>
      <c r="DB130">
        <v>0</v>
      </c>
    </row>
    <row r="131" spans="1:106" x14ac:dyDescent="0.2">
      <c r="A131">
        <f>ROW(Source!A55)</f>
        <v>55</v>
      </c>
      <c r="B131">
        <v>39476960</v>
      </c>
      <c r="C131">
        <v>39477552</v>
      </c>
      <c r="D131">
        <v>36797288</v>
      </c>
      <c r="E131">
        <v>17</v>
      </c>
      <c r="F131">
        <v>1</v>
      </c>
      <c r="G131">
        <v>1</v>
      </c>
      <c r="H131">
        <v>3</v>
      </c>
      <c r="I131" t="s">
        <v>155</v>
      </c>
      <c r="J131" t="s">
        <v>3</v>
      </c>
      <c r="K131" t="s">
        <v>156</v>
      </c>
      <c r="L131">
        <v>1327</v>
      </c>
      <c r="N131">
        <v>1005</v>
      </c>
      <c r="O131" t="s">
        <v>61</v>
      </c>
      <c r="P131" t="s">
        <v>61</v>
      </c>
      <c r="Q131">
        <v>1</v>
      </c>
      <c r="W131">
        <v>0</v>
      </c>
      <c r="X131">
        <v>-1797250708</v>
      </c>
      <c r="Y131">
        <v>100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6.13</v>
      </c>
      <c r="AJ131">
        <v>1</v>
      </c>
      <c r="AK131">
        <v>1</v>
      </c>
      <c r="AL131">
        <v>1</v>
      </c>
      <c r="AN131">
        <v>1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100</v>
      </c>
      <c r="AU131" t="s">
        <v>3</v>
      </c>
      <c r="AV131">
        <v>0</v>
      </c>
      <c r="AW131">
        <v>2</v>
      </c>
      <c r="AX131">
        <v>39477557</v>
      </c>
      <c r="AY131">
        <v>1</v>
      </c>
      <c r="AZ131">
        <v>6144</v>
      </c>
      <c r="BA131">
        <v>126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Y131*Source!I55</f>
        <v>8</v>
      </c>
      <c r="CY131">
        <f>AA131</f>
        <v>0</v>
      </c>
      <c r="CZ131">
        <f>AE131</f>
        <v>0</v>
      </c>
      <c r="DA131">
        <f>AI131</f>
        <v>6.13</v>
      </c>
      <c r="DB131">
        <v>0</v>
      </c>
    </row>
    <row r="132" spans="1:106" x14ac:dyDescent="0.2">
      <c r="A132">
        <f>ROW(Source!A55)</f>
        <v>55</v>
      </c>
      <c r="B132">
        <v>39476960</v>
      </c>
      <c r="C132">
        <v>39477552</v>
      </c>
      <c r="D132">
        <v>36805224</v>
      </c>
      <c r="E132">
        <v>1</v>
      </c>
      <c r="F132">
        <v>1</v>
      </c>
      <c r="G132">
        <v>1</v>
      </c>
      <c r="H132">
        <v>3</v>
      </c>
      <c r="I132" t="s">
        <v>150</v>
      </c>
      <c r="J132" t="s">
        <v>153</v>
      </c>
      <c r="K132" t="s">
        <v>151</v>
      </c>
      <c r="L132">
        <v>1035</v>
      </c>
      <c r="N132">
        <v>1013</v>
      </c>
      <c r="O132" t="s">
        <v>152</v>
      </c>
      <c r="P132" t="s">
        <v>152</v>
      </c>
      <c r="Q132">
        <v>1</v>
      </c>
      <c r="W132">
        <v>0</v>
      </c>
      <c r="X132">
        <v>1674289896</v>
      </c>
      <c r="Y132">
        <v>12.5</v>
      </c>
      <c r="AA132">
        <v>16727.05</v>
      </c>
      <c r="AB132">
        <v>0</v>
      </c>
      <c r="AC132">
        <v>0</v>
      </c>
      <c r="AD132">
        <v>0</v>
      </c>
      <c r="AE132">
        <v>2728.72</v>
      </c>
      <c r="AF132">
        <v>0</v>
      </c>
      <c r="AG132">
        <v>0</v>
      </c>
      <c r="AH132">
        <v>0</v>
      </c>
      <c r="AI132">
        <v>6.13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3</v>
      </c>
      <c r="AT132">
        <v>12.5</v>
      </c>
      <c r="AU132" t="s">
        <v>3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Y132*Source!I55</f>
        <v>1</v>
      </c>
      <c r="CY132">
        <f>AA132</f>
        <v>16727.05</v>
      </c>
      <c r="CZ132">
        <f>AE132</f>
        <v>2728.72</v>
      </c>
      <c r="DA132">
        <f>AI132</f>
        <v>6.13</v>
      </c>
      <c r="DB132">
        <v>0</v>
      </c>
    </row>
    <row r="133" spans="1:106" x14ac:dyDescent="0.2">
      <c r="A133">
        <f>ROW(Source!A55)</f>
        <v>55</v>
      </c>
      <c r="B133">
        <v>39476960</v>
      </c>
      <c r="C133">
        <v>39477552</v>
      </c>
      <c r="D133">
        <v>36806488</v>
      </c>
      <c r="E133">
        <v>1</v>
      </c>
      <c r="F133">
        <v>1</v>
      </c>
      <c r="G133">
        <v>1</v>
      </c>
      <c r="H133">
        <v>3</v>
      </c>
      <c r="I133" t="s">
        <v>931</v>
      </c>
      <c r="J133" t="s">
        <v>932</v>
      </c>
      <c r="K133" t="s">
        <v>933</v>
      </c>
      <c r="L133">
        <v>1348</v>
      </c>
      <c r="N133">
        <v>1009</v>
      </c>
      <c r="O133" t="s">
        <v>34</v>
      </c>
      <c r="P133" t="s">
        <v>34</v>
      </c>
      <c r="Q133">
        <v>1000</v>
      </c>
      <c r="W133">
        <v>0</v>
      </c>
      <c r="X133">
        <v>-1421715385</v>
      </c>
      <c r="Y133">
        <v>2E-3</v>
      </c>
      <c r="AA133">
        <v>4474.78</v>
      </c>
      <c r="AB133">
        <v>0</v>
      </c>
      <c r="AC133">
        <v>0</v>
      </c>
      <c r="AD133">
        <v>0</v>
      </c>
      <c r="AE133">
        <v>729.98</v>
      </c>
      <c r="AF133">
        <v>0</v>
      </c>
      <c r="AG133">
        <v>0</v>
      </c>
      <c r="AH133">
        <v>0</v>
      </c>
      <c r="AI133">
        <v>6.13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2E-3</v>
      </c>
      <c r="AU133" t="s">
        <v>3</v>
      </c>
      <c r="AV133">
        <v>0</v>
      </c>
      <c r="AW133">
        <v>2</v>
      </c>
      <c r="AX133">
        <v>39477558</v>
      </c>
      <c r="AY133">
        <v>1</v>
      </c>
      <c r="AZ133">
        <v>0</v>
      </c>
      <c r="BA133">
        <v>127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Y133*Source!I55</f>
        <v>1.6000000000000001E-4</v>
      </c>
      <c r="CY133">
        <f>AA133</f>
        <v>4474.78</v>
      </c>
      <c r="CZ133">
        <f>AE133</f>
        <v>729.98</v>
      </c>
      <c r="DA133">
        <f>AI133</f>
        <v>6.13</v>
      </c>
      <c r="DB133">
        <v>0</v>
      </c>
    </row>
    <row r="134" spans="1:106" x14ac:dyDescent="0.2">
      <c r="A134">
        <f>ROW(Source!A55)</f>
        <v>55</v>
      </c>
      <c r="B134">
        <v>39476960</v>
      </c>
      <c r="C134">
        <v>39477552</v>
      </c>
      <c r="D134">
        <v>36855483</v>
      </c>
      <c r="E134">
        <v>1</v>
      </c>
      <c r="F134">
        <v>1</v>
      </c>
      <c r="G134">
        <v>1</v>
      </c>
      <c r="H134">
        <v>3</v>
      </c>
      <c r="I134" t="s">
        <v>158</v>
      </c>
      <c r="J134" t="s">
        <v>161</v>
      </c>
      <c r="K134" t="s">
        <v>159</v>
      </c>
      <c r="L134">
        <v>1358</v>
      </c>
      <c r="N134">
        <v>1010</v>
      </c>
      <c r="O134" t="s">
        <v>160</v>
      </c>
      <c r="P134" t="s">
        <v>160</v>
      </c>
      <c r="Q134">
        <v>10</v>
      </c>
      <c r="W134">
        <v>0</v>
      </c>
      <c r="X134">
        <v>1317278185</v>
      </c>
      <c r="Y134">
        <v>1.25</v>
      </c>
      <c r="AA134">
        <v>209.65</v>
      </c>
      <c r="AB134">
        <v>0</v>
      </c>
      <c r="AC134">
        <v>0</v>
      </c>
      <c r="AD134">
        <v>0</v>
      </c>
      <c r="AE134">
        <v>34.200000000000003</v>
      </c>
      <c r="AF134">
        <v>0</v>
      </c>
      <c r="AG134">
        <v>0</v>
      </c>
      <c r="AH134">
        <v>0</v>
      </c>
      <c r="AI134">
        <v>6.13</v>
      </c>
      <c r="AJ134">
        <v>1</v>
      </c>
      <c r="AK134">
        <v>1</v>
      </c>
      <c r="AL134">
        <v>1</v>
      </c>
      <c r="AN134">
        <v>1</v>
      </c>
      <c r="AO134">
        <v>0</v>
      </c>
      <c r="AP134">
        <v>0</v>
      </c>
      <c r="AQ134">
        <v>0</v>
      </c>
      <c r="AR134">
        <v>0</v>
      </c>
      <c r="AS134" t="s">
        <v>3</v>
      </c>
      <c r="AT134">
        <v>1.25</v>
      </c>
      <c r="AU134" t="s">
        <v>3</v>
      </c>
      <c r="AV134">
        <v>0</v>
      </c>
      <c r="AW134">
        <v>2</v>
      </c>
      <c r="AX134">
        <v>39477559</v>
      </c>
      <c r="AY134">
        <v>1</v>
      </c>
      <c r="AZ134">
        <v>6144</v>
      </c>
      <c r="BA134">
        <v>128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Y134*Source!I55</f>
        <v>0.1</v>
      </c>
      <c r="CY134">
        <f>AA134</f>
        <v>209.65</v>
      </c>
      <c r="CZ134">
        <f>AE134</f>
        <v>34.200000000000003</v>
      </c>
      <c r="DA134">
        <f>AI134</f>
        <v>6.13</v>
      </c>
      <c r="DB134">
        <v>0</v>
      </c>
    </row>
    <row r="135" spans="1:106" x14ac:dyDescent="0.2">
      <c r="A135">
        <f>ROW(Source!A59)</f>
        <v>59</v>
      </c>
      <c r="B135">
        <v>39476960</v>
      </c>
      <c r="C135">
        <v>39477846</v>
      </c>
      <c r="D135">
        <v>37064998</v>
      </c>
      <c r="E135">
        <v>1</v>
      </c>
      <c r="F135">
        <v>1</v>
      </c>
      <c r="G135">
        <v>1</v>
      </c>
      <c r="H135">
        <v>1</v>
      </c>
      <c r="I135" t="s">
        <v>994</v>
      </c>
      <c r="J135" t="s">
        <v>3</v>
      </c>
      <c r="K135" t="s">
        <v>995</v>
      </c>
      <c r="L135">
        <v>1191</v>
      </c>
      <c r="N135">
        <v>1013</v>
      </c>
      <c r="O135" t="s">
        <v>796</v>
      </c>
      <c r="P135" t="s">
        <v>796</v>
      </c>
      <c r="Q135">
        <v>1</v>
      </c>
      <c r="W135">
        <v>0</v>
      </c>
      <c r="X135">
        <v>735429535</v>
      </c>
      <c r="Y135">
        <v>140.24249999999998</v>
      </c>
      <c r="AA135">
        <v>0</v>
      </c>
      <c r="AB135">
        <v>0</v>
      </c>
      <c r="AC135">
        <v>0</v>
      </c>
      <c r="AD135">
        <v>47.81</v>
      </c>
      <c r="AE135">
        <v>0</v>
      </c>
      <c r="AF135">
        <v>0</v>
      </c>
      <c r="AG135">
        <v>0</v>
      </c>
      <c r="AH135">
        <v>7.8</v>
      </c>
      <c r="AI135">
        <v>1</v>
      </c>
      <c r="AJ135">
        <v>1</v>
      </c>
      <c r="AK135">
        <v>1</v>
      </c>
      <c r="AL135">
        <v>6.13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40.65</v>
      </c>
      <c r="AU135" t="s">
        <v>168</v>
      </c>
      <c r="AV135">
        <v>1</v>
      </c>
      <c r="AW135">
        <v>2</v>
      </c>
      <c r="AX135">
        <v>39477847</v>
      </c>
      <c r="AY135">
        <v>1</v>
      </c>
      <c r="AZ135">
        <v>0</v>
      </c>
      <c r="BA135">
        <v>129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Y135*Source!I59</f>
        <v>17.530312499999997</v>
      </c>
      <c r="CY135">
        <f>AD135</f>
        <v>47.81</v>
      </c>
      <c r="CZ135">
        <f>AH135</f>
        <v>7.8</v>
      </c>
      <c r="DA135">
        <f>AL135</f>
        <v>6.13</v>
      </c>
      <c r="DB135">
        <v>0</v>
      </c>
    </row>
    <row r="136" spans="1:106" x14ac:dyDescent="0.2">
      <c r="A136">
        <f>ROW(Source!A59)</f>
        <v>59</v>
      </c>
      <c r="B136">
        <v>39476960</v>
      </c>
      <c r="C136">
        <v>39477846</v>
      </c>
      <c r="D136">
        <v>37064876</v>
      </c>
      <c r="E136">
        <v>1</v>
      </c>
      <c r="F136">
        <v>1</v>
      </c>
      <c r="G136">
        <v>1</v>
      </c>
      <c r="H136">
        <v>1</v>
      </c>
      <c r="I136" t="s">
        <v>797</v>
      </c>
      <c r="J136" t="s">
        <v>3</v>
      </c>
      <c r="K136" t="s">
        <v>798</v>
      </c>
      <c r="L136">
        <v>1191</v>
      </c>
      <c r="N136">
        <v>1013</v>
      </c>
      <c r="O136" t="s">
        <v>796</v>
      </c>
      <c r="P136" t="s">
        <v>796</v>
      </c>
      <c r="Q136">
        <v>1</v>
      </c>
      <c r="W136">
        <v>0</v>
      </c>
      <c r="X136">
        <v>-1417349443</v>
      </c>
      <c r="Y136">
        <v>1.27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6.13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1.27</v>
      </c>
      <c r="AU136" t="s">
        <v>3</v>
      </c>
      <c r="AV136">
        <v>2</v>
      </c>
      <c r="AW136">
        <v>2</v>
      </c>
      <c r="AX136">
        <v>39477848</v>
      </c>
      <c r="AY136">
        <v>1</v>
      </c>
      <c r="AZ136">
        <v>2048</v>
      </c>
      <c r="BA136">
        <v>130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Y136*Source!I59</f>
        <v>0.15875</v>
      </c>
      <c r="CY136">
        <f>AD136</f>
        <v>0</v>
      </c>
      <c r="CZ136">
        <f>AH136</f>
        <v>0</v>
      </c>
      <c r="DA136">
        <f>AL136</f>
        <v>1</v>
      </c>
      <c r="DB136">
        <v>0</v>
      </c>
    </row>
    <row r="137" spans="1:106" x14ac:dyDescent="0.2">
      <c r="A137">
        <f>ROW(Source!A59)</f>
        <v>59</v>
      </c>
      <c r="B137">
        <v>39476960</v>
      </c>
      <c r="C137">
        <v>39477846</v>
      </c>
      <c r="D137">
        <v>36882452</v>
      </c>
      <c r="E137">
        <v>1</v>
      </c>
      <c r="F137">
        <v>1</v>
      </c>
      <c r="G137">
        <v>1</v>
      </c>
      <c r="H137">
        <v>2</v>
      </c>
      <c r="I137" t="s">
        <v>799</v>
      </c>
      <c r="J137" t="s">
        <v>800</v>
      </c>
      <c r="K137" t="s">
        <v>801</v>
      </c>
      <c r="L137">
        <v>1368</v>
      </c>
      <c r="N137">
        <v>1011</v>
      </c>
      <c r="O137" t="s">
        <v>802</v>
      </c>
      <c r="P137" t="s">
        <v>802</v>
      </c>
      <c r="Q137">
        <v>1</v>
      </c>
      <c r="W137">
        <v>0</v>
      </c>
      <c r="X137">
        <v>1188625873</v>
      </c>
      <c r="Y137">
        <v>4.7625000000000002</v>
      </c>
      <c r="AA137">
        <v>0</v>
      </c>
      <c r="AB137">
        <v>191.62</v>
      </c>
      <c r="AC137">
        <v>13.5</v>
      </c>
      <c r="AD137">
        <v>0</v>
      </c>
      <c r="AE137">
        <v>0</v>
      </c>
      <c r="AF137">
        <v>31.26</v>
      </c>
      <c r="AG137">
        <v>13.5</v>
      </c>
      <c r="AH137">
        <v>0</v>
      </c>
      <c r="AI137">
        <v>1</v>
      </c>
      <c r="AJ137">
        <v>6.13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1.27</v>
      </c>
      <c r="AU137" t="s">
        <v>167</v>
      </c>
      <c r="AV137">
        <v>0</v>
      </c>
      <c r="AW137">
        <v>2</v>
      </c>
      <c r="AX137">
        <v>39477849</v>
      </c>
      <c r="AY137">
        <v>1</v>
      </c>
      <c r="AZ137">
        <v>0</v>
      </c>
      <c r="BA137">
        <v>131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Y137*Source!I59</f>
        <v>0.59531250000000002</v>
      </c>
      <c r="CY137">
        <f>AB137</f>
        <v>191.62</v>
      </c>
      <c r="CZ137">
        <f>AF137</f>
        <v>31.26</v>
      </c>
      <c r="DA137">
        <f>AJ137</f>
        <v>6.13</v>
      </c>
      <c r="DB137">
        <v>0</v>
      </c>
    </row>
    <row r="138" spans="1:106" x14ac:dyDescent="0.2">
      <c r="A138">
        <f>ROW(Source!A59)</f>
        <v>59</v>
      </c>
      <c r="B138">
        <v>39476960</v>
      </c>
      <c r="C138">
        <v>39477846</v>
      </c>
      <c r="D138">
        <v>36882569</v>
      </c>
      <c r="E138">
        <v>1</v>
      </c>
      <c r="F138">
        <v>1</v>
      </c>
      <c r="G138">
        <v>1</v>
      </c>
      <c r="H138">
        <v>2</v>
      </c>
      <c r="I138" t="s">
        <v>996</v>
      </c>
      <c r="J138" t="s">
        <v>997</v>
      </c>
      <c r="K138" t="s">
        <v>998</v>
      </c>
      <c r="L138">
        <v>1368</v>
      </c>
      <c r="N138">
        <v>1011</v>
      </c>
      <c r="O138" t="s">
        <v>802</v>
      </c>
      <c r="P138" t="s">
        <v>802</v>
      </c>
      <c r="Q138">
        <v>1</v>
      </c>
      <c r="W138">
        <v>0</v>
      </c>
      <c r="X138">
        <v>126902709</v>
      </c>
      <c r="Y138">
        <v>17.625</v>
      </c>
      <c r="AA138">
        <v>0</v>
      </c>
      <c r="AB138">
        <v>3.07</v>
      </c>
      <c r="AC138">
        <v>0</v>
      </c>
      <c r="AD138">
        <v>0</v>
      </c>
      <c r="AE138">
        <v>0</v>
      </c>
      <c r="AF138">
        <v>0.5</v>
      </c>
      <c r="AG138">
        <v>0</v>
      </c>
      <c r="AH138">
        <v>0</v>
      </c>
      <c r="AI138">
        <v>1</v>
      </c>
      <c r="AJ138">
        <v>6.13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4.7</v>
      </c>
      <c r="AU138" t="s">
        <v>167</v>
      </c>
      <c r="AV138">
        <v>0</v>
      </c>
      <c r="AW138">
        <v>2</v>
      </c>
      <c r="AX138">
        <v>39477850</v>
      </c>
      <c r="AY138">
        <v>1</v>
      </c>
      <c r="AZ138">
        <v>0</v>
      </c>
      <c r="BA138">
        <v>132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Y138*Source!I59</f>
        <v>2.203125</v>
      </c>
      <c r="CY138">
        <f>AB138</f>
        <v>3.07</v>
      </c>
      <c r="CZ138">
        <f>AF138</f>
        <v>0.5</v>
      </c>
      <c r="DA138">
        <f>AJ138</f>
        <v>6.13</v>
      </c>
      <c r="DB138">
        <v>0</v>
      </c>
    </row>
    <row r="139" spans="1:106" x14ac:dyDescent="0.2">
      <c r="A139">
        <f>ROW(Source!A59)</f>
        <v>59</v>
      </c>
      <c r="B139">
        <v>39476960</v>
      </c>
      <c r="C139">
        <v>39477846</v>
      </c>
      <c r="D139">
        <v>36801792</v>
      </c>
      <c r="E139">
        <v>1</v>
      </c>
      <c r="F139">
        <v>1</v>
      </c>
      <c r="G139">
        <v>1</v>
      </c>
      <c r="H139">
        <v>3</v>
      </c>
      <c r="I139" t="s">
        <v>954</v>
      </c>
      <c r="J139" t="s">
        <v>955</v>
      </c>
      <c r="K139" t="s">
        <v>956</v>
      </c>
      <c r="L139">
        <v>1339</v>
      </c>
      <c r="N139">
        <v>1007</v>
      </c>
      <c r="O139" t="s">
        <v>25</v>
      </c>
      <c r="P139" t="s">
        <v>25</v>
      </c>
      <c r="Q139">
        <v>1</v>
      </c>
      <c r="W139">
        <v>0</v>
      </c>
      <c r="X139">
        <v>-1660354250</v>
      </c>
      <c r="Y139">
        <v>8.75</v>
      </c>
      <c r="AA139">
        <v>14.96</v>
      </c>
      <c r="AB139">
        <v>0</v>
      </c>
      <c r="AC139">
        <v>0</v>
      </c>
      <c r="AD139">
        <v>0</v>
      </c>
      <c r="AE139">
        <v>2.44</v>
      </c>
      <c r="AF139">
        <v>0</v>
      </c>
      <c r="AG139">
        <v>0</v>
      </c>
      <c r="AH139">
        <v>0</v>
      </c>
      <c r="AI139">
        <v>6.13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3.5</v>
      </c>
      <c r="AU139" t="s">
        <v>166</v>
      </c>
      <c r="AV139">
        <v>0</v>
      </c>
      <c r="AW139">
        <v>2</v>
      </c>
      <c r="AX139">
        <v>39477851</v>
      </c>
      <c r="AY139">
        <v>1</v>
      </c>
      <c r="AZ139">
        <v>0</v>
      </c>
      <c r="BA139">
        <v>133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Y139*Source!I59</f>
        <v>1.09375</v>
      </c>
      <c r="CY139">
        <f>AA139</f>
        <v>14.96</v>
      </c>
      <c r="CZ139">
        <f>AE139</f>
        <v>2.44</v>
      </c>
      <c r="DA139">
        <f>AI139</f>
        <v>6.13</v>
      </c>
      <c r="DB139">
        <v>0</v>
      </c>
    </row>
    <row r="140" spans="1:106" x14ac:dyDescent="0.2">
      <c r="A140">
        <f>ROW(Source!A59)</f>
        <v>59</v>
      </c>
      <c r="B140">
        <v>39476960</v>
      </c>
      <c r="C140">
        <v>39477846</v>
      </c>
      <c r="D140">
        <v>36807162</v>
      </c>
      <c r="E140">
        <v>1</v>
      </c>
      <c r="F140">
        <v>1</v>
      </c>
      <c r="G140">
        <v>1</v>
      </c>
      <c r="H140">
        <v>3</v>
      </c>
      <c r="I140" t="s">
        <v>171</v>
      </c>
      <c r="J140" t="s">
        <v>173</v>
      </c>
      <c r="K140" t="s">
        <v>172</v>
      </c>
      <c r="L140">
        <v>1339</v>
      </c>
      <c r="N140">
        <v>1007</v>
      </c>
      <c r="O140" t="s">
        <v>25</v>
      </c>
      <c r="P140" t="s">
        <v>25</v>
      </c>
      <c r="Q140">
        <v>1</v>
      </c>
      <c r="W140">
        <v>0</v>
      </c>
      <c r="X140">
        <v>-1176852747</v>
      </c>
      <c r="Y140">
        <v>5.0999999999999996</v>
      </c>
      <c r="AA140">
        <v>3432.8</v>
      </c>
      <c r="AB140">
        <v>0</v>
      </c>
      <c r="AC140">
        <v>0</v>
      </c>
      <c r="AD140">
        <v>0</v>
      </c>
      <c r="AE140">
        <v>560</v>
      </c>
      <c r="AF140">
        <v>0</v>
      </c>
      <c r="AG140">
        <v>0</v>
      </c>
      <c r="AH140">
        <v>0</v>
      </c>
      <c r="AI140">
        <v>6.13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1</v>
      </c>
      <c r="AQ140">
        <v>0</v>
      </c>
      <c r="AR140">
        <v>0</v>
      </c>
      <c r="AS140" t="s">
        <v>3</v>
      </c>
      <c r="AT140">
        <v>5.0999999999999996</v>
      </c>
      <c r="AU140" t="s">
        <v>3</v>
      </c>
      <c r="AV140">
        <v>0</v>
      </c>
      <c r="AW140">
        <v>1</v>
      </c>
      <c r="AX140">
        <v>-1</v>
      </c>
      <c r="AY140">
        <v>0</v>
      </c>
      <c r="AZ140">
        <v>0</v>
      </c>
      <c r="BA140" t="s">
        <v>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Y140*Source!I59</f>
        <v>0.63749999999999996</v>
      </c>
      <c r="CY140">
        <f>AA140</f>
        <v>3432.8</v>
      </c>
      <c r="CZ140">
        <f>AE140</f>
        <v>560</v>
      </c>
      <c r="DA140">
        <f>AI140</f>
        <v>6.13</v>
      </c>
      <c r="DB140">
        <v>0</v>
      </c>
    </row>
    <row r="141" spans="1:106" x14ac:dyDescent="0.2">
      <c r="A141">
        <f>ROW(Source!A59)</f>
        <v>59</v>
      </c>
      <c r="B141">
        <v>39476960</v>
      </c>
      <c r="C141">
        <v>39477846</v>
      </c>
      <c r="D141">
        <v>36796420</v>
      </c>
      <c r="E141">
        <v>17</v>
      </c>
      <c r="F141">
        <v>1</v>
      </c>
      <c r="G141">
        <v>1</v>
      </c>
      <c r="H141">
        <v>3</v>
      </c>
      <c r="I141" t="s">
        <v>175</v>
      </c>
      <c r="J141" t="s">
        <v>3</v>
      </c>
      <c r="K141" t="s">
        <v>176</v>
      </c>
      <c r="L141">
        <v>1339</v>
      </c>
      <c r="N141">
        <v>1007</v>
      </c>
      <c r="O141" t="s">
        <v>25</v>
      </c>
      <c r="P141" t="s">
        <v>25</v>
      </c>
      <c r="Q141">
        <v>1</v>
      </c>
      <c r="W141">
        <v>0</v>
      </c>
      <c r="X141">
        <v>-355906858</v>
      </c>
      <c r="Y141">
        <v>5.0999999999999996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6.13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1</v>
      </c>
      <c r="AQ141">
        <v>0</v>
      </c>
      <c r="AR141">
        <v>0</v>
      </c>
      <c r="AS141" t="s">
        <v>3</v>
      </c>
      <c r="AT141">
        <v>2.04</v>
      </c>
      <c r="AU141" t="s">
        <v>166</v>
      </c>
      <c r="AV141">
        <v>0</v>
      </c>
      <c r="AW141">
        <v>2</v>
      </c>
      <c r="AX141">
        <v>39477852</v>
      </c>
      <c r="AY141">
        <v>1</v>
      </c>
      <c r="AZ141">
        <v>0</v>
      </c>
      <c r="BA141">
        <v>134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Y141*Source!I59</f>
        <v>0.63749999999999996</v>
      </c>
      <c r="CY141">
        <f>AA141</f>
        <v>0</v>
      </c>
      <c r="CZ141">
        <f>AE141</f>
        <v>0</v>
      </c>
      <c r="DA141">
        <f>AI141</f>
        <v>6.13</v>
      </c>
      <c r="DB141">
        <v>0</v>
      </c>
    </row>
    <row r="142" spans="1:106" x14ac:dyDescent="0.2">
      <c r="A142">
        <f>ROW(Source!A62)</f>
        <v>62</v>
      </c>
      <c r="B142">
        <v>39476960</v>
      </c>
      <c r="C142">
        <v>39477870</v>
      </c>
      <c r="D142">
        <v>37070495</v>
      </c>
      <c r="E142">
        <v>1</v>
      </c>
      <c r="F142">
        <v>1</v>
      </c>
      <c r="G142">
        <v>1</v>
      </c>
      <c r="H142">
        <v>1</v>
      </c>
      <c r="I142" t="s">
        <v>875</v>
      </c>
      <c r="J142" t="s">
        <v>3</v>
      </c>
      <c r="K142" t="s">
        <v>876</v>
      </c>
      <c r="L142">
        <v>1191</v>
      </c>
      <c r="N142">
        <v>1013</v>
      </c>
      <c r="O142" t="s">
        <v>796</v>
      </c>
      <c r="P142" t="s">
        <v>796</v>
      </c>
      <c r="Q142">
        <v>1</v>
      </c>
      <c r="W142">
        <v>0</v>
      </c>
      <c r="X142">
        <v>-784637506</v>
      </c>
      <c r="Y142">
        <v>165.29639999999998</v>
      </c>
      <c r="AA142">
        <v>0</v>
      </c>
      <c r="AB142">
        <v>0</v>
      </c>
      <c r="AC142">
        <v>0</v>
      </c>
      <c r="AD142">
        <v>53.58</v>
      </c>
      <c r="AE142">
        <v>0</v>
      </c>
      <c r="AF142">
        <v>0</v>
      </c>
      <c r="AG142">
        <v>0</v>
      </c>
      <c r="AH142">
        <v>8.74</v>
      </c>
      <c r="AI142">
        <v>1</v>
      </c>
      <c r="AJ142">
        <v>1</v>
      </c>
      <c r="AK142">
        <v>1</v>
      </c>
      <c r="AL142">
        <v>6.13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119.78</v>
      </c>
      <c r="AU142" t="s">
        <v>54</v>
      </c>
      <c r="AV142">
        <v>1</v>
      </c>
      <c r="AW142">
        <v>2</v>
      </c>
      <c r="AX142">
        <v>39477871</v>
      </c>
      <c r="AY142">
        <v>1</v>
      </c>
      <c r="AZ142">
        <v>0</v>
      </c>
      <c r="BA142">
        <v>135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Y142*Source!I62</f>
        <v>20.662049999999997</v>
      </c>
      <c r="CY142">
        <f>AD142</f>
        <v>53.58</v>
      </c>
      <c r="CZ142">
        <f>AH142</f>
        <v>8.74</v>
      </c>
      <c r="DA142">
        <f>AL142</f>
        <v>6.13</v>
      </c>
      <c r="DB142">
        <v>0</v>
      </c>
    </row>
    <row r="143" spans="1:106" x14ac:dyDescent="0.2">
      <c r="A143">
        <f>ROW(Source!A62)</f>
        <v>62</v>
      </c>
      <c r="B143">
        <v>39476960</v>
      </c>
      <c r="C143">
        <v>39477870</v>
      </c>
      <c r="D143">
        <v>37064876</v>
      </c>
      <c r="E143">
        <v>1</v>
      </c>
      <c r="F143">
        <v>1</v>
      </c>
      <c r="G143">
        <v>1</v>
      </c>
      <c r="H143">
        <v>1</v>
      </c>
      <c r="I143" t="s">
        <v>797</v>
      </c>
      <c r="J143" t="s">
        <v>3</v>
      </c>
      <c r="K143" t="s">
        <v>798</v>
      </c>
      <c r="L143">
        <v>1191</v>
      </c>
      <c r="N143">
        <v>1013</v>
      </c>
      <c r="O143" t="s">
        <v>796</v>
      </c>
      <c r="P143" t="s">
        <v>796</v>
      </c>
      <c r="Q143">
        <v>1</v>
      </c>
      <c r="W143">
        <v>0</v>
      </c>
      <c r="X143">
        <v>-1417349443</v>
      </c>
      <c r="Y143">
        <v>4.5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6.13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4.5</v>
      </c>
      <c r="AU143" t="s">
        <v>3</v>
      </c>
      <c r="AV143">
        <v>2</v>
      </c>
      <c r="AW143">
        <v>2</v>
      </c>
      <c r="AX143">
        <v>39477872</v>
      </c>
      <c r="AY143">
        <v>1</v>
      </c>
      <c r="AZ143">
        <v>2048</v>
      </c>
      <c r="BA143">
        <v>136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Y143*Source!I62</f>
        <v>0.5625</v>
      </c>
      <c r="CY143">
        <f>AD143</f>
        <v>0</v>
      </c>
      <c r="CZ143">
        <f>AH143</f>
        <v>0</v>
      </c>
      <c r="DA143">
        <f>AL143</f>
        <v>1</v>
      </c>
      <c r="DB143">
        <v>0</v>
      </c>
    </row>
    <row r="144" spans="1:106" x14ac:dyDescent="0.2">
      <c r="A144">
        <f>ROW(Source!A62)</f>
        <v>62</v>
      </c>
      <c r="B144">
        <v>39476960</v>
      </c>
      <c r="C144">
        <v>39477870</v>
      </c>
      <c r="D144">
        <v>36882383</v>
      </c>
      <c r="E144">
        <v>1</v>
      </c>
      <c r="F144">
        <v>1</v>
      </c>
      <c r="G144">
        <v>1</v>
      </c>
      <c r="H144">
        <v>2</v>
      </c>
      <c r="I144" t="s">
        <v>951</v>
      </c>
      <c r="J144" t="s">
        <v>952</v>
      </c>
      <c r="K144" t="s">
        <v>953</v>
      </c>
      <c r="L144">
        <v>1368</v>
      </c>
      <c r="N144">
        <v>1011</v>
      </c>
      <c r="O144" t="s">
        <v>802</v>
      </c>
      <c r="P144" t="s">
        <v>802</v>
      </c>
      <c r="Q144">
        <v>1</v>
      </c>
      <c r="W144">
        <v>0</v>
      </c>
      <c r="X144">
        <v>1225731627</v>
      </c>
      <c r="Y144">
        <v>0.53999999999999992</v>
      </c>
      <c r="AA144">
        <v>0</v>
      </c>
      <c r="AB144">
        <v>551.64</v>
      </c>
      <c r="AC144">
        <v>10.06</v>
      </c>
      <c r="AD144">
        <v>0</v>
      </c>
      <c r="AE144">
        <v>0</v>
      </c>
      <c r="AF144">
        <v>89.99</v>
      </c>
      <c r="AG144">
        <v>10.06</v>
      </c>
      <c r="AH144">
        <v>0</v>
      </c>
      <c r="AI144">
        <v>1</v>
      </c>
      <c r="AJ144">
        <v>6.13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0.36</v>
      </c>
      <c r="AU144" t="s">
        <v>53</v>
      </c>
      <c r="AV144">
        <v>0</v>
      </c>
      <c r="AW144">
        <v>2</v>
      </c>
      <c r="AX144">
        <v>39477873</v>
      </c>
      <c r="AY144">
        <v>1</v>
      </c>
      <c r="AZ144">
        <v>0</v>
      </c>
      <c r="BA144">
        <v>137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Y144*Source!I62</f>
        <v>6.7499999999999991E-2</v>
      </c>
      <c r="CY144">
        <f>AB144</f>
        <v>551.64</v>
      </c>
      <c r="CZ144">
        <f>AF144</f>
        <v>89.99</v>
      </c>
      <c r="DA144">
        <f>AJ144</f>
        <v>6.13</v>
      </c>
      <c r="DB144">
        <v>0</v>
      </c>
    </row>
    <row r="145" spans="1:106" x14ac:dyDescent="0.2">
      <c r="A145">
        <f>ROW(Source!A62)</f>
        <v>62</v>
      </c>
      <c r="B145">
        <v>39476960</v>
      </c>
      <c r="C145">
        <v>39477870</v>
      </c>
      <c r="D145">
        <v>36882452</v>
      </c>
      <c r="E145">
        <v>1</v>
      </c>
      <c r="F145">
        <v>1</v>
      </c>
      <c r="G145">
        <v>1</v>
      </c>
      <c r="H145">
        <v>2</v>
      </c>
      <c r="I145" t="s">
        <v>799</v>
      </c>
      <c r="J145" t="s">
        <v>800</v>
      </c>
      <c r="K145" t="s">
        <v>801</v>
      </c>
      <c r="L145">
        <v>1368</v>
      </c>
      <c r="N145">
        <v>1011</v>
      </c>
      <c r="O145" t="s">
        <v>802</v>
      </c>
      <c r="P145" t="s">
        <v>802</v>
      </c>
      <c r="Q145">
        <v>1</v>
      </c>
      <c r="W145">
        <v>0</v>
      </c>
      <c r="X145">
        <v>1188625873</v>
      </c>
      <c r="Y145">
        <v>3.4499999999999997</v>
      </c>
      <c r="AA145">
        <v>0</v>
      </c>
      <c r="AB145">
        <v>191.62</v>
      </c>
      <c r="AC145">
        <v>13.5</v>
      </c>
      <c r="AD145">
        <v>0</v>
      </c>
      <c r="AE145">
        <v>0</v>
      </c>
      <c r="AF145">
        <v>31.26</v>
      </c>
      <c r="AG145">
        <v>13.5</v>
      </c>
      <c r="AH145">
        <v>0</v>
      </c>
      <c r="AI145">
        <v>1</v>
      </c>
      <c r="AJ145">
        <v>6.13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2.2999999999999998</v>
      </c>
      <c r="AU145" t="s">
        <v>53</v>
      </c>
      <c r="AV145">
        <v>0</v>
      </c>
      <c r="AW145">
        <v>2</v>
      </c>
      <c r="AX145">
        <v>39477874</v>
      </c>
      <c r="AY145">
        <v>1</v>
      </c>
      <c r="AZ145">
        <v>0</v>
      </c>
      <c r="BA145">
        <v>138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Y145*Source!I62</f>
        <v>0.43124999999999997</v>
      </c>
      <c r="CY145">
        <f>AB145</f>
        <v>191.62</v>
      </c>
      <c r="CZ145">
        <f>AF145</f>
        <v>31.26</v>
      </c>
      <c r="DA145">
        <f>AJ145</f>
        <v>6.13</v>
      </c>
      <c r="DB145">
        <v>0</v>
      </c>
    </row>
    <row r="146" spans="1:106" x14ac:dyDescent="0.2">
      <c r="A146">
        <f>ROW(Source!A62)</f>
        <v>62</v>
      </c>
      <c r="B146">
        <v>39476960</v>
      </c>
      <c r="C146">
        <v>39477870</v>
      </c>
      <c r="D146">
        <v>36882621</v>
      </c>
      <c r="E146">
        <v>1</v>
      </c>
      <c r="F146">
        <v>1</v>
      </c>
      <c r="G146">
        <v>1</v>
      </c>
      <c r="H146">
        <v>2</v>
      </c>
      <c r="I146" t="s">
        <v>999</v>
      </c>
      <c r="J146" t="s">
        <v>1000</v>
      </c>
      <c r="K146" t="s">
        <v>1001</v>
      </c>
      <c r="L146">
        <v>1368</v>
      </c>
      <c r="N146">
        <v>1011</v>
      </c>
      <c r="O146" t="s">
        <v>802</v>
      </c>
      <c r="P146" t="s">
        <v>802</v>
      </c>
      <c r="Q146">
        <v>1</v>
      </c>
      <c r="W146">
        <v>0</v>
      </c>
      <c r="X146">
        <v>983187852</v>
      </c>
      <c r="Y146">
        <v>2.3400000000000003</v>
      </c>
      <c r="AA146">
        <v>0</v>
      </c>
      <c r="AB146">
        <v>75.95</v>
      </c>
      <c r="AC146">
        <v>10.06</v>
      </c>
      <c r="AD146">
        <v>0</v>
      </c>
      <c r="AE146">
        <v>0</v>
      </c>
      <c r="AF146">
        <v>12.39</v>
      </c>
      <c r="AG146">
        <v>10.06</v>
      </c>
      <c r="AH146">
        <v>0</v>
      </c>
      <c r="AI146">
        <v>1</v>
      </c>
      <c r="AJ146">
        <v>6.13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1.56</v>
      </c>
      <c r="AU146" t="s">
        <v>53</v>
      </c>
      <c r="AV146">
        <v>0</v>
      </c>
      <c r="AW146">
        <v>2</v>
      </c>
      <c r="AX146">
        <v>39477875</v>
      </c>
      <c r="AY146">
        <v>1</v>
      </c>
      <c r="AZ146">
        <v>0</v>
      </c>
      <c r="BA146">
        <v>139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Y146*Source!I62</f>
        <v>0.29250000000000004</v>
      </c>
      <c r="CY146">
        <f>AB146</f>
        <v>75.95</v>
      </c>
      <c r="CZ146">
        <f>AF146</f>
        <v>12.39</v>
      </c>
      <c r="DA146">
        <f>AJ146</f>
        <v>6.13</v>
      </c>
      <c r="DB146">
        <v>0</v>
      </c>
    </row>
    <row r="147" spans="1:106" x14ac:dyDescent="0.2">
      <c r="A147">
        <f>ROW(Source!A62)</f>
        <v>62</v>
      </c>
      <c r="B147">
        <v>39476960</v>
      </c>
      <c r="C147">
        <v>39477870</v>
      </c>
      <c r="D147">
        <v>36883554</v>
      </c>
      <c r="E147">
        <v>1</v>
      </c>
      <c r="F147">
        <v>1</v>
      </c>
      <c r="G147">
        <v>1</v>
      </c>
      <c r="H147">
        <v>2</v>
      </c>
      <c r="I147" t="s">
        <v>834</v>
      </c>
      <c r="J147" t="s">
        <v>835</v>
      </c>
      <c r="K147" t="s">
        <v>836</v>
      </c>
      <c r="L147">
        <v>1368</v>
      </c>
      <c r="N147">
        <v>1011</v>
      </c>
      <c r="O147" t="s">
        <v>802</v>
      </c>
      <c r="P147" t="s">
        <v>802</v>
      </c>
      <c r="Q147">
        <v>1</v>
      </c>
      <c r="W147">
        <v>0</v>
      </c>
      <c r="X147">
        <v>1372534845</v>
      </c>
      <c r="Y147">
        <v>0.42000000000000004</v>
      </c>
      <c r="AA147">
        <v>0</v>
      </c>
      <c r="AB147">
        <v>402.8</v>
      </c>
      <c r="AC147">
        <v>11.6</v>
      </c>
      <c r="AD147">
        <v>0</v>
      </c>
      <c r="AE147">
        <v>0</v>
      </c>
      <c r="AF147">
        <v>65.709999999999994</v>
      </c>
      <c r="AG147">
        <v>11.6</v>
      </c>
      <c r="AH147">
        <v>0</v>
      </c>
      <c r="AI147">
        <v>1</v>
      </c>
      <c r="AJ147">
        <v>6.13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0.28000000000000003</v>
      </c>
      <c r="AU147" t="s">
        <v>53</v>
      </c>
      <c r="AV147">
        <v>0</v>
      </c>
      <c r="AW147">
        <v>2</v>
      </c>
      <c r="AX147">
        <v>39477876</v>
      </c>
      <c r="AY147">
        <v>1</v>
      </c>
      <c r="AZ147">
        <v>0</v>
      </c>
      <c r="BA147">
        <v>140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Y147*Source!I62</f>
        <v>5.2500000000000005E-2</v>
      </c>
      <c r="CY147">
        <f>AB147</f>
        <v>402.8</v>
      </c>
      <c r="CZ147">
        <f>AF147</f>
        <v>65.709999999999994</v>
      </c>
      <c r="DA147">
        <f>AJ147</f>
        <v>6.13</v>
      </c>
      <c r="DB147">
        <v>0</v>
      </c>
    </row>
    <row r="148" spans="1:106" x14ac:dyDescent="0.2">
      <c r="A148">
        <f>ROW(Source!A62)</f>
        <v>62</v>
      </c>
      <c r="B148">
        <v>39476960</v>
      </c>
      <c r="C148">
        <v>39477870</v>
      </c>
      <c r="D148">
        <v>36801792</v>
      </c>
      <c r="E148">
        <v>1</v>
      </c>
      <c r="F148">
        <v>1</v>
      </c>
      <c r="G148">
        <v>1</v>
      </c>
      <c r="H148">
        <v>3</v>
      </c>
      <c r="I148" t="s">
        <v>954</v>
      </c>
      <c r="J148" t="s">
        <v>955</v>
      </c>
      <c r="K148" t="s">
        <v>956</v>
      </c>
      <c r="L148">
        <v>1339</v>
      </c>
      <c r="N148">
        <v>1007</v>
      </c>
      <c r="O148" t="s">
        <v>25</v>
      </c>
      <c r="P148" t="s">
        <v>25</v>
      </c>
      <c r="Q148">
        <v>1</v>
      </c>
      <c r="W148">
        <v>0</v>
      </c>
      <c r="X148">
        <v>-1660354250</v>
      </c>
      <c r="Y148">
        <v>0.1</v>
      </c>
      <c r="AA148">
        <v>14.96</v>
      </c>
      <c r="AB148">
        <v>0</v>
      </c>
      <c r="AC148">
        <v>0</v>
      </c>
      <c r="AD148">
        <v>0</v>
      </c>
      <c r="AE148">
        <v>2.44</v>
      </c>
      <c r="AF148">
        <v>0</v>
      </c>
      <c r="AG148">
        <v>0</v>
      </c>
      <c r="AH148">
        <v>0</v>
      </c>
      <c r="AI148">
        <v>6.13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0.1</v>
      </c>
      <c r="AU148" t="s">
        <v>3</v>
      </c>
      <c r="AV148">
        <v>0</v>
      </c>
      <c r="AW148">
        <v>2</v>
      </c>
      <c r="AX148">
        <v>39477877</v>
      </c>
      <c r="AY148">
        <v>1</v>
      </c>
      <c r="AZ148">
        <v>0</v>
      </c>
      <c r="BA148">
        <v>141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Y148*Source!I62</f>
        <v>1.2500000000000001E-2</v>
      </c>
      <c r="CY148">
        <f>AA148</f>
        <v>14.96</v>
      </c>
      <c r="CZ148">
        <f>AE148</f>
        <v>2.44</v>
      </c>
      <c r="DA148">
        <f>AI148</f>
        <v>6.13</v>
      </c>
      <c r="DB148">
        <v>0</v>
      </c>
    </row>
    <row r="149" spans="1:106" x14ac:dyDescent="0.2">
      <c r="A149">
        <f>ROW(Source!A62)</f>
        <v>62</v>
      </c>
      <c r="B149">
        <v>39476960</v>
      </c>
      <c r="C149">
        <v>39477870</v>
      </c>
      <c r="D149">
        <v>36805524</v>
      </c>
      <c r="E149">
        <v>1</v>
      </c>
      <c r="F149">
        <v>1</v>
      </c>
      <c r="G149">
        <v>1</v>
      </c>
      <c r="H149">
        <v>3</v>
      </c>
      <c r="I149" t="s">
        <v>960</v>
      </c>
      <c r="J149" t="s">
        <v>961</v>
      </c>
      <c r="K149" t="s">
        <v>962</v>
      </c>
      <c r="L149">
        <v>1346</v>
      </c>
      <c r="N149">
        <v>1009</v>
      </c>
      <c r="O149" t="s">
        <v>217</v>
      </c>
      <c r="P149" t="s">
        <v>217</v>
      </c>
      <c r="Q149">
        <v>1</v>
      </c>
      <c r="W149">
        <v>0</v>
      </c>
      <c r="X149">
        <v>813963326</v>
      </c>
      <c r="Y149">
        <v>0.5</v>
      </c>
      <c r="AA149">
        <v>11.16</v>
      </c>
      <c r="AB149">
        <v>0</v>
      </c>
      <c r="AC149">
        <v>0</v>
      </c>
      <c r="AD149">
        <v>0</v>
      </c>
      <c r="AE149">
        <v>1.82</v>
      </c>
      <c r="AF149">
        <v>0</v>
      </c>
      <c r="AG149">
        <v>0</v>
      </c>
      <c r="AH149">
        <v>0</v>
      </c>
      <c r="AI149">
        <v>6.13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0.5</v>
      </c>
      <c r="AU149" t="s">
        <v>3</v>
      </c>
      <c r="AV149">
        <v>0</v>
      </c>
      <c r="AW149">
        <v>2</v>
      </c>
      <c r="AX149">
        <v>39477878</v>
      </c>
      <c r="AY149">
        <v>1</v>
      </c>
      <c r="AZ149">
        <v>0</v>
      </c>
      <c r="BA149">
        <v>142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Y149*Source!I62</f>
        <v>6.25E-2</v>
      </c>
      <c r="CY149">
        <f>AA149</f>
        <v>11.16</v>
      </c>
      <c r="CZ149">
        <f>AE149</f>
        <v>1.82</v>
      </c>
      <c r="DA149">
        <f>AI149</f>
        <v>6.13</v>
      </c>
      <c r="DB149">
        <v>0</v>
      </c>
    </row>
    <row r="150" spans="1:106" x14ac:dyDescent="0.2">
      <c r="A150">
        <f>ROW(Source!A62)</f>
        <v>62</v>
      </c>
      <c r="B150">
        <v>39476960</v>
      </c>
      <c r="C150">
        <v>39477870</v>
      </c>
      <c r="D150">
        <v>36807549</v>
      </c>
      <c r="E150">
        <v>1</v>
      </c>
      <c r="F150">
        <v>1</v>
      </c>
      <c r="G150">
        <v>1</v>
      </c>
      <c r="H150">
        <v>3</v>
      </c>
      <c r="I150" t="s">
        <v>1002</v>
      </c>
      <c r="J150" t="s">
        <v>1003</v>
      </c>
      <c r="K150" t="s">
        <v>1004</v>
      </c>
      <c r="L150">
        <v>1348</v>
      </c>
      <c r="N150">
        <v>1009</v>
      </c>
      <c r="O150" t="s">
        <v>34</v>
      </c>
      <c r="P150" t="s">
        <v>34</v>
      </c>
      <c r="Q150">
        <v>1000</v>
      </c>
      <c r="W150">
        <v>0</v>
      </c>
      <c r="X150">
        <v>2108657288</v>
      </c>
      <c r="Y150">
        <v>0.05</v>
      </c>
      <c r="AA150">
        <v>39924.69</v>
      </c>
      <c r="AB150">
        <v>0</v>
      </c>
      <c r="AC150">
        <v>0</v>
      </c>
      <c r="AD150">
        <v>0</v>
      </c>
      <c r="AE150">
        <v>6513</v>
      </c>
      <c r="AF150">
        <v>0</v>
      </c>
      <c r="AG150">
        <v>0</v>
      </c>
      <c r="AH150">
        <v>0</v>
      </c>
      <c r="AI150">
        <v>6.13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0.05</v>
      </c>
      <c r="AU150" t="s">
        <v>3</v>
      </c>
      <c r="AV150">
        <v>0</v>
      </c>
      <c r="AW150">
        <v>2</v>
      </c>
      <c r="AX150">
        <v>39477879</v>
      </c>
      <c r="AY150">
        <v>1</v>
      </c>
      <c r="AZ150">
        <v>0</v>
      </c>
      <c r="BA150">
        <v>143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Y150*Source!I62</f>
        <v>6.2500000000000003E-3</v>
      </c>
      <c r="CY150">
        <f>AA150</f>
        <v>39924.69</v>
      </c>
      <c r="CZ150">
        <f>AE150</f>
        <v>6513</v>
      </c>
      <c r="DA150">
        <f>AI150</f>
        <v>6.13</v>
      </c>
      <c r="DB150">
        <v>0</v>
      </c>
    </row>
    <row r="151" spans="1:106" x14ac:dyDescent="0.2">
      <c r="A151">
        <f>ROW(Source!A62)</f>
        <v>62</v>
      </c>
      <c r="B151">
        <v>39476960</v>
      </c>
      <c r="C151">
        <v>39477870</v>
      </c>
      <c r="D151">
        <v>36821537</v>
      </c>
      <c r="E151">
        <v>1</v>
      </c>
      <c r="F151">
        <v>1</v>
      </c>
      <c r="G151">
        <v>1</v>
      </c>
      <c r="H151">
        <v>3</v>
      </c>
      <c r="I151" t="s">
        <v>1005</v>
      </c>
      <c r="J151" t="s">
        <v>1006</v>
      </c>
      <c r="K151" t="s">
        <v>1007</v>
      </c>
      <c r="L151">
        <v>1327</v>
      </c>
      <c r="N151">
        <v>1005</v>
      </c>
      <c r="O151" t="s">
        <v>61</v>
      </c>
      <c r="P151" t="s">
        <v>61</v>
      </c>
      <c r="Q151">
        <v>1</v>
      </c>
      <c r="W151">
        <v>0</v>
      </c>
      <c r="X151">
        <v>380867059</v>
      </c>
      <c r="Y151">
        <v>102</v>
      </c>
      <c r="AA151">
        <v>415.61</v>
      </c>
      <c r="AB151">
        <v>0</v>
      </c>
      <c r="AC151">
        <v>0</v>
      </c>
      <c r="AD151">
        <v>0</v>
      </c>
      <c r="AE151">
        <v>67.8</v>
      </c>
      <c r="AF151">
        <v>0</v>
      </c>
      <c r="AG151">
        <v>0</v>
      </c>
      <c r="AH151">
        <v>0</v>
      </c>
      <c r="AI151">
        <v>6.13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102</v>
      </c>
      <c r="AU151" t="s">
        <v>3</v>
      </c>
      <c r="AV151">
        <v>0</v>
      </c>
      <c r="AW151">
        <v>2</v>
      </c>
      <c r="AX151">
        <v>39477880</v>
      </c>
      <c r="AY151">
        <v>1</v>
      </c>
      <c r="AZ151">
        <v>0</v>
      </c>
      <c r="BA151">
        <v>144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Y151*Source!I62</f>
        <v>12.75</v>
      </c>
      <c r="CY151">
        <f>AA151</f>
        <v>415.61</v>
      </c>
      <c r="CZ151">
        <f>AE151</f>
        <v>67.8</v>
      </c>
      <c r="DA151">
        <f>AI151</f>
        <v>6.13</v>
      </c>
      <c r="DB151">
        <v>0</v>
      </c>
    </row>
    <row r="152" spans="1:106" x14ac:dyDescent="0.2">
      <c r="A152">
        <f>ROW(Source!A62)</f>
        <v>62</v>
      </c>
      <c r="B152">
        <v>39476960</v>
      </c>
      <c r="C152">
        <v>39477870</v>
      </c>
      <c r="D152">
        <v>36837083</v>
      </c>
      <c r="E152">
        <v>1</v>
      </c>
      <c r="F152">
        <v>1</v>
      </c>
      <c r="G152">
        <v>1</v>
      </c>
      <c r="H152">
        <v>3</v>
      </c>
      <c r="I152" t="s">
        <v>1008</v>
      </c>
      <c r="J152" t="s">
        <v>1009</v>
      </c>
      <c r="K152" t="s">
        <v>1010</v>
      </c>
      <c r="L152">
        <v>1346</v>
      </c>
      <c r="N152">
        <v>1009</v>
      </c>
      <c r="O152" t="s">
        <v>217</v>
      </c>
      <c r="P152" t="s">
        <v>217</v>
      </c>
      <c r="Q152">
        <v>1</v>
      </c>
      <c r="W152">
        <v>0</v>
      </c>
      <c r="X152">
        <v>538897998</v>
      </c>
      <c r="Y152">
        <v>450</v>
      </c>
      <c r="AA152">
        <v>8.4</v>
      </c>
      <c r="AB152">
        <v>0</v>
      </c>
      <c r="AC152">
        <v>0</v>
      </c>
      <c r="AD152">
        <v>0</v>
      </c>
      <c r="AE152">
        <v>1.37</v>
      </c>
      <c r="AF152">
        <v>0</v>
      </c>
      <c r="AG152">
        <v>0</v>
      </c>
      <c r="AH152">
        <v>0</v>
      </c>
      <c r="AI152">
        <v>6.13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450</v>
      </c>
      <c r="AU152" t="s">
        <v>3</v>
      </c>
      <c r="AV152">
        <v>0</v>
      </c>
      <c r="AW152">
        <v>2</v>
      </c>
      <c r="AX152">
        <v>39477881</v>
      </c>
      <c r="AY152">
        <v>1</v>
      </c>
      <c r="AZ152">
        <v>0</v>
      </c>
      <c r="BA152">
        <v>145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Y152*Source!I62</f>
        <v>56.25</v>
      </c>
      <c r="CY152">
        <f>AA152</f>
        <v>8.4</v>
      </c>
      <c r="CZ152">
        <f>AE152</f>
        <v>1.37</v>
      </c>
      <c r="DA152">
        <f>AI152</f>
        <v>6.13</v>
      </c>
      <c r="DB152">
        <v>0</v>
      </c>
    </row>
    <row r="153" spans="1:106" x14ac:dyDescent="0.2">
      <c r="A153">
        <f>ROW(Source!A63)</f>
        <v>63</v>
      </c>
      <c r="B153">
        <v>39476960</v>
      </c>
      <c r="C153">
        <v>39477883</v>
      </c>
      <c r="D153">
        <v>37070495</v>
      </c>
      <c r="E153">
        <v>1</v>
      </c>
      <c r="F153">
        <v>1</v>
      </c>
      <c r="G153">
        <v>1</v>
      </c>
      <c r="H153">
        <v>1</v>
      </c>
      <c r="I153" t="s">
        <v>875</v>
      </c>
      <c r="J153" t="s">
        <v>3</v>
      </c>
      <c r="K153" t="s">
        <v>876</v>
      </c>
      <c r="L153">
        <v>1191</v>
      </c>
      <c r="N153">
        <v>1013</v>
      </c>
      <c r="O153" t="s">
        <v>796</v>
      </c>
      <c r="P153" t="s">
        <v>796</v>
      </c>
      <c r="Q153">
        <v>1</v>
      </c>
      <c r="W153">
        <v>0</v>
      </c>
      <c r="X153">
        <v>-784637506</v>
      </c>
      <c r="Y153">
        <v>428.37959999999998</v>
      </c>
      <c r="AA153">
        <v>0</v>
      </c>
      <c r="AB153">
        <v>0</v>
      </c>
      <c r="AC153">
        <v>0</v>
      </c>
      <c r="AD153">
        <v>53.58</v>
      </c>
      <c r="AE153">
        <v>0</v>
      </c>
      <c r="AF153">
        <v>0</v>
      </c>
      <c r="AG153">
        <v>0</v>
      </c>
      <c r="AH153">
        <v>8.74</v>
      </c>
      <c r="AI153">
        <v>1</v>
      </c>
      <c r="AJ153">
        <v>1</v>
      </c>
      <c r="AK153">
        <v>1</v>
      </c>
      <c r="AL153">
        <v>6.13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310.42</v>
      </c>
      <c r="AU153" t="s">
        <v>54</v>
      </c>
      <c r="AV153">
        <v>1</v>
      </c>
      <c r="AW153">
        <v>2</v>
      </c>
      <c r="AX153">
        <v>39477884</v>
      </c>
      <c r="AY153">
        <v>1</v>
      </c>
      <c r="AZ153">
        <v>0</v>
      </c>
      <c r="BA153">
        <v>146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Y153*Source!I63</f>
        <v>25.702775999999997</v>
      </c>
      <c r="CY153">
        <f>AD153</f>
        <v>53.58</v>
      </c>
      <c r="CZ153">
        <f>AH153</f>
        <v>8.74</v>
      </c>
      <c r="DA153">
        <f>AL153</f>
        <v>6.13</v>
      </c>
      <c r="DB153">
        <v>0</v>
      </c>
    </row>
    <row r="154" spans="1:106" x14ac:dyDescent="0.2">
      <c r="A154">
        <f>ROW(Source!A63)</f>
        <v>63</v>
      </c>
      <c r="B154">
        <v>39476960</v>
      </c>
      <c r="C154">
        <v>39477883</v>
      </c>
      <c r="D154">
        <v>37064876</v>
      </c>
      <c r="E154">
        <v>1</v>
      </c>
      <c r="F154">
        <v>1</v>
      </c>
      <c r="G154">
        <v>1</v>
      </c>
      <c r="H154">
        <v>1</v>
      </c>
      <c r="I154" t="s">
        <v>797</v>
      </c>
      <c r="J154" t="s">
        <v>3</v>
      </c>
      <c r="K154" t="s">
        <v>798</v>
      </c>
      <c r="L154">
        <v>1191</v>
      </c>
      <c r="N154">
        <v>1013</v>
      </c>
      <c r="O154" t="s">
        <v>796</v>
      </c>
      <c r="P154" t="s">
        <v>796</v>
      </c>
      <c r="Q154">
        <v>1</v>
      </c>
      <c r="W154">
        <v>0</v>
      </c>
      <c r="X154">
        <v>-1417349443</v>
      </c>
      <c r="Y154">
        <v>1.73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6.13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1.73</v>
      </c>
      <c r="AU154" t="s">
        <v>3</v>
      </c>
      <c r="AV154">
        <v>2</v>
      </c>
      <c r="AW154">
        <v>2</v>
      </c>
      <c r="AX154">
        <v>39477885</v>
      </c>
      <c r="AY154">
        <v>1</v>
      </c>
      <c r="AZ154">
        <v>2048</v>
      </c>
      <c r="BA154">
        <v>147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Y154*Source!I63</f>
        <v>0.10379999999999999</v>
      </c>
      <c r="CY154">
        <f>AD154</f>
        <v>0</v>
      </c>
      <c r="CZ154">
        <f>AH154</f>
        <v>0</v>
      </c>
      <c r="DA154">
        <f>AL154</f>
        <v>1</v>
      </c>
      <c r="DB154">
        <v>0</v>
      </c>
    </row>
    <row r="155" spans="1:106" x14ac:dyDescent="0.2">
      <c r="A155">
        <f>ROW(Source!A63)</f>
        <v>63</v>
      </c>
      <c r="B155">
        <v>39476960</v>
      </c>
      <c r="C155">
        <v>39477883</v>
      </c>
      <c r="D155">
        <v>36882055</v>
      </c>
      <c r="E155">
        <v>1</v>
      </c>
      <c r="F155">
        <v>1</v>
      </c>
      <c r="G155">
        <v>1</v>
      </c>
      <c r="H155">
        <v>2</v>
      </c>
      <c r="I155" t="s">
        <v>1011</v>
      </c>
      <c r="J155" t="s">
        <v>1012</v>
      </c>
      <c r="K155" t="s">
        <v>1013</v>
      </c>
      <c r="L155">
        <v>1368</v>
      </c>
      <c r="N155">
        <v>1011</v>
      </c>
      <c r="O155" t="s">
        <v>802</v>
      </c>
      <c r="P155" t="s">
        <v>802</v>
      </c>
      <c r="Q155">
        <v>1</v>
      </c>
      <c r="W155">
        <v>0</v>
      </c>
      <c r="X155">
        <v>257150282</v>
      </c>
      <c r="Y155">
        <v>0.03</v>
      </c>
      <c r="AA155">
        <v>0</v>
      </c>
      <c r="AB155">
        <v>511.43</v>
      </c>
      <c r="AC155">
        <v>13.5</v>
      </c>
      <c r="AD155">
        <v>0</v>
      </c>
      <c r="AE155">
        <v>0</v>
      </c>
      <c r="AF155">
        <v>83.43</v>
      </c>
      <c r="AG155">
        <v>13.5</v>
      </c>
      <c r="AH155">
        <v>0</v>
      </c>
      <c r="AI155">
        <v>1</v>
      </c>
      <c r="AJ155">
        <v>6.13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0.02</v>
      </c>
      <c r="AU155" t="s">
        <v>53</v>
      </c>
      <c r="AV155">
        <v>0</v>
      </c>
      <c r="AW155">
        <v>2</v>
      </c>
      <c r="AX155">
        <v>39477886</v>
      </c>
      <c r="AY155">
        <v>1</v>
      </c>
      <c r="AZ155">
        <v>0</v>
      </c>
      <c r="BA155">
        <v>148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Y155*Source!I63</f>
        <v>1.8E-3</v>
      </c>
      <c r="CY155">
        <f>AB155</f>
        <v>511.43</v>
      </c>
      <c r="CZ155">
        <f>AF155</f>
        <v>83.43</v>
      </c>
      <c r="DA155">
        <f>AJ155</f>
        <v>6.13</v>
      </c>
      <c r="DB155">
        <v>0</v>
      </c>
    </row>
    <row r="156" spans="1:106" x14ac:dyDescent="0.2">
      <c r="A156">
        <f>ROW(Source!A63)</f>
        <v>63</v>
      </c>
      <c r="B156">
        <v>39476960</v>
      </c>
      <c r="C156">
        <v>39477883</v>
      </c>
      <c r="D156">
        <v>36882157</v>
      </c>
      <c r="E156">
        <v>1</v>
      </c>
      <c r="F156">
        <v>1</v>
      </c>
      <c r="G156">
        <v>1</v>
      </c>
      <c r="H156">
        <v>2</v>
      </c>
      <c r="I156" t="s">
        <v>1014</v>
      </c>
      <c r="J156" t="s">
        <v>1015</v>
      </c>
      <c r="K156" t="s">
        <v>1016</v>
      </c>
      <c r="L156">
        <v>1368</v>
      </c>
      <c r="N156">
        <v>1011</v>
      </c>
      <c r="O156" t="s">
        <v>802</v>
      </c>
      <c r="P156" t="s">
        <v>802</v>
      </c>
      <c r="Q156">
        <v>1</v>
      </c>
      <c r="W156">
        <v>0</v>
      </c>
      <c r="X156">
        <v>1330025190</v>
      </c>
      <c r="Y156">
        <v>1.4999999999999999E-2</v>
      </c>
      <c r="AA156">
        <v>0</v>
      </c>
      <c r="AB156">
        <v>539.5</v>
      </c>
      <c r="AC156">
        <v>11.6</v>
      </c>
      <c r="AD156">
        <v>0</v>
      </c>
      <c r="AE156">
        <v>0</v>
      </c>
      <c r="AF156">
        <v>88.01</v>
      </c>
      <c r="AG156">
        <v>11.6</v>
      </c>
      <c r="AH156">
        <v>0</v>
      </c>
      <c r="AI156">
        <v>1</v>
      </c>
      <c r="AJ156">
        <v>6.13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0.01</v>
      </c>
      <c r="AU156" t="s">
        <v>53</v>
      </c>
      <c r="AV156">
        <v>0</v>
      </c>
      <c r="AW156">
        <v>2</v>
      </c>
      <c r="AX156">
        <v>39477887</v>
      </c>
      <c r="AY156">
        <v>1</v>
      </c>
      <c r="AZ156">
        <v>0</v>
      </c>
      <c r="BA156">
        <v>149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Y156*Source!I63</f>
        <v>8.9999999999999998E-4</v>
      </c>
      <c r="CY156">
        <f>AB156</f>
        <v>539.5</v>
      </c>
      <c r="CZ156">
        <f>AF156</f>
        <v>88.01</v>
      </c>
      <c r="DA156">
        <f>AJ156</f>
        <v>6.13</v>
      </c>
      <c r="DB156">
        <v>0</v>
      </c>
    </row>
    <row r="157" spans="1:106" x14ac:dyDescent="0.2">
      <c r="A157">
        <f>ROW(Source!A63)</f>
        <v>63</v>
      </c>
      <c r="B157">
        <v>39476960</v>
      </c>
      <c r="C157">
        <v>39477883</v>
      </c>
      <c r="D157">
        <v>36882621</v>
      </c>
      <c r="E157">
        <v>1</v>
      </c>
      <c r="F157">
        <v>1</v>
      </c>
      <c r="G157">
        <v>1</v>
      </c>
      <c r="H157">
        <v>2</v>
      </c>
      <c r="I157" t="s">
        <v>999</v>
      </c>
      <c r="J157" t="s">
        <v>1000</v>
      </c>
      <c r="K157" t="s">
        <v>1001</v>
      </c>
      <c r="L157">
        <v>1368</v>
      </c>
      <c r="N157">
        <v>1011</v>
      </c>
      <c r="O157" t="s">
        <v>802</v>
      </c>
      <c r="P157" t="s">
        <v>802</v>
      </c>
      <c r="Q157">
        <v>1</v>
      </c>
      <c r="W157">
        <v>0</v>
      </c>
      <c r="X157">
        <v>983187852</v>
      </c>
      <c r="Y157">
        <v>2.5349999999999997</v>
      </c>
      <c r="AA157">
        <v>0</v>
      </c>
      <c r="AB157">
        <v>75.95</v>
      </c>
      <c r="AC157">
        <v>10.06</v>
      </c>
      <c r="AD157">
        <v>0</v>
      </c>
      <c r="AE157">
        <v>0</v>
      </c>
      <c r="AF157">
        <v>12.39</v>
      </c>
      <c r="AG157">
        <v>10.06</v>
      </c>
      <c r="AH157">
        <v>0</v>
      </c>
      <c r="AI157">
        <v>1</v>
      </c>
      <c r="AJ157">
        <v>6.13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1.69</v>
      </c>
      <c r="AU157" t="s">
        <v>53</v>
      </c>
      <c r="AV157">
        <v>0</v>
      </c>
      <c r="AW157">
        <v>2</v>
      </c>
      <c r="AX157">
        <v>39477888</v>
      </c>
      <c r="AY157">
        <v>1</v>
      </c>
      <c r="AZ157">
        <v>0</v>
      </c>
      <c r="BA157">
        <v>150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Y157*Source!I63</f>
        <v>0.15209999999999999</v>
      </c>
      <c r="CY157">
        <f>AB157</f>
        <v>75.95</v>
      </c>
      <c r="CZ157">
        <f>AF157</f>
        <v>12.39</v>
      </c>
      <c r="DA157">
        <f>AJ157</f>
        <v>6.13</v>
      </c>
      <c r="DB157">
        <v>0</v>
      </c>
    </row>
    <row r="158" spans="1:106" x14ac:dyDescent="0.2">
      <c r="A158">
        <f>ROW(Source!A63)</f>
        <v>63</v>
      </c>
      <c r="B158">
        <v>39476960</v>
      </c>
      <c r="C158">
        <v>39477883</v>
      </c>
      <c r="D158">
        <v>36883554</v>
      </c>
      <c r="E158">
        <v>1</v>
      </c>
      <c r="F158">
        <v>1</v>
      </c>
      <c r="G158">
        <v>1</v>
      </c>
      <c r="H158">
        <v>2</v>
      </c>
      <c r="I158" t="s">
        <v>834</v>
      </c>
      <c r="J158" t="s">
        <v>835</v>
      </c>
      <c r="K158" t="s">
        <v>836</v>
      </c>
      <c r="L158">
        <v>1368</v>
      </c>
      <c r="N158">
        <v>1011</v>
      </c>
      <c r="O158" t="s">
        <v>802</v>
      </c>
      <c r="P158" t="s">
        <v>802</v>
      </c>
      <c r="Q158">
        <v>1</v>
      </c>
      <c r="W158">
        <v>0</v>
      </c>
      <c r="X158">
        <v>1372534845</v>
      </c>
      <c r="Y158">
        <v>1.4999999999999999E-2</v>
      </c>
      <c r="AA158">
        <v>0</v>
      </c>
      <c r="AB158">
        <v>402.8</v>
      </c>
      <c r="AC158">
        <v>11.6</v>
      </c>
      <c r="AD158">
        <v>0</v>
      </c>
      <c r="AE158">
        <v>0</v>
      </c>
      <c r="AF158">
        <v>65.709999999999994</v>
      </c>
      <c r="AG158">
        <v>11.6</v>
      </c>
      <c r="AH158">
        <v>0</v>
      </c>
      <c r="AI158">
        <v>1</v>
      </c>
      <c r="AJ158">
        <v>6.13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0.01</v>
      </c>
      <c r="AU158" t="s">
        <v>53</v>
      </c>
      <c r="AV158">
        <v>0</v>
      </c>
      <c r="AW158">
        <v>2</v>
      </c>
      <c r="AX158">
        <v>39477889</v>
      </c>
      <c r="AY158">
        <v>1</v>
      </c>
      <c r="AZ158">
        <v>0</v>
      </c>
      <c r="BA158">
        <v>151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Y158*Source!I63</f>
        <v>8.9999999999999998E-4</v>
      </c>
      <c r="CY158">
        <f>AB158</f>
        <v>402.8</v>
      </c>
      <c r="CZ158">
        <f>AF158</f>
        <v>65.709999999999994</v>
      </c>
      <c r="DA158">
        <f>AJ158</f>
        <v>6.13</v>
      </c>
      <c r="DB158">
        <v>0</v>
      </c>
    </row>
    <row r="159" spans="1:106" x14ac:dyDescent="0.2">
      <c r="A159">
        <f>ROW(Source!A63)</f>
        <v>63</v>
      </c>
      <c r="B159">
        <v>39476960</v>
      </c>
      <c r="C159">
        <v>39477883</v>
      </c>
      <c r="D159">
        <v>36801792</v>
      </c>
      <c r="E159">
        <v>1</v>
      </c>
      <c r="F159">
        <v>1</v>
      </c>
      <c r="G159">
        <v>1</v>
      </c>
      <c r="H159">
        <v>3</v>
      </c>
      <c r="I159" t="s">
        <v>954</v>
      </c>
      <c r="J159" t="s">
        <v>955</v>
      </c>
      <c r="K159" t="s">
        <v>956</v>
      </c>
      <c r="L159">
        <v>1339</v>
      </c>
      <c r="N159">
        <v>1007</v>
      </c>
      <c r="O159" t="s">
        <v>25</v>
      </c>
      <c r="P159" t="s">
        <v>25</v>
      </c>
      <c r="Q159">
        <v>1</v>
      </c>
      <c r="W159">
        <v>0</v>
      </c>
      <c r="X159">
        <v>-1660354250</v>
      </c>
      <c r="Y159">
        <v>0.44</v>
      </c>
      <c r="AA159">
        <v>14.96</v>
      </c>
      <c r="AB159">
        <v>0</v>
      </c>
      <c r="AC159">
        <v>0</v>
      </c>
      <c r="AD159">
        <v>0</v>
      </c>
      <c r="AE159">
        <v>2.44</v>
      </c>
      <c r="AF159">
        <v>0</v>
      </c>
      <c r="AG159">
        <v>0</v>
      </c>
      <c r="AH159">
        <v>0</v>
      </c>
      <c r="AI159">
        <v>6.13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0.44</v>
      </c>
      <c r="AU159" t="s">
        <v>3</v>
      </c>
      <c r="AV159">
        <v>0</v>
      </c>
      <c r="AW159">
        <v>2</v>
      </c>
      <c r="AX159">
        <v>39477890</v>
      </c>
      <c r="AY159">
        <v>1</v>
      </c>
      <c r="AZ159">
        <v>0</v>
      </c>
      <c r="BA159">
        <v>152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Y159*Source!I63</f>
        <v>2.64E-2</v>
      </c>
      <c r="CY159">
        <f>AA159</f>
        <v>14.96</v>
      </c>
      <c r="CZ159">
        <f>AE159</f>
        <v>2.44</v>
      </c>
      <c r="DA159">
        <f>AI159</f>
        <v>6.13</v>
      </c>
      <c r="DB159">
        <v>0</v>
      </c>
    </row>
    <row r="160" spans="1:106" x14ac:dyDescent="0.2">
      <c r="A160">
        <f>ROW(Source!A63)</f>
        <v>63</v>
      </c>
      <c r="B160">
        <v>39476960</v>
      </c>
      <c r="C160">
        <v>39477883</v>
      </c>
      <c r="D160">
        <v>36807549</v>
      </c>
      <c r="E160">
        <v>1</v>
      </c>
      <c r="F160">
        <v>1</v>
      </c>
      <c r="G160">
        <v>1</v>
      </c>
      <c r="H160">
        <v>3</v>
      </c>
      <c r="I160" t="s">
        <v>1002</v>
      </c>
      <c r="J160" t="s">
        <v>1003</v>
      </c>
      <c r="K160" t="s">
        <v>1004</v>
      </c>
      <c r="L160">
        <v>1348</v>
      </c>
      <c r="N160">
        <v>1009</v>
      </c>
      <c r="O160" t="s">
        <v>34</v>
      </c>
      <c r="P160" t="s">
        <v>34</v>
      </c>
      <c r="Q160">
        <v>1000</v>
      </c>
      <c r="W160">
        <v>0</v>
      </c>
      <c r="X160">
        <v>2108657288</v>
      </c>
      <c r="Y160">
        <v>1.2999999999999999E-2</v>
      </c>
      <c r="AA160">
        <v>39924.69</v>
      </c>
      <c r="AB160">
        <v>0</v>
      </c>
      <c r="AC160">
        <v>0</v>
      </c>
      <c r="AD160">
        <v>0</v>
      </c>
      <c r="AE160">
        <v>6513</v>
      </c>
      <c r="AF160">
        <v>0</v>
      </c>
      <c r="AG160">
        <v>0</v>
      </c>
      <c r="AH160">
        <v>0</v>
      </c>
      <c r="AI160">
        <v>6.13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1.2999999999999999E-2</v>
      </c>
      <c r="AU160" t="s">
        <v>3</v>
      </c>
      <c r="AV160">
        <v>0</v>
      </c>
      <c r="AW160">
        <v>2</v>
      </c>
      <c r="AX160">
        <v>39477891</v>
      </c>
      <c r="AY160">
        <v>1</v>
      </c>
      <c r="AZ160">
        <v>0</v>
      </c>
      <c r="BA160">
        <v>153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Y160*Source!I63</f>
        <v>7.7999999999999999E-4</v>
      </c>
      <c r="CY160">
        <f>AA160</f>
        <v>39924.69</v>
      </c>
      <c r="CZ160">
        <f>AE160</f>
        <v>6513</v>
      </c>
      <c r="DA160">
        <f>AI160</f>
        <v>6.13</v>
      </c>
      <c r="DB160">
        <v>0</v>
      </c>
    </row>
    <row r="161" spans="1:106" x14ac:dyDescent="0.2">
      <c r="A161">
        <f>ROW(Source!A63)</f>
        <v>63</v>
      </c>
      <c r="B161">
        <v>39476960</v>
      </c>
      <c r="C161">
        <v>39477883</v>
      </c>
      <c r="D161">
        <v>36821595</v>
      </c>
      <c r="E161">
        <v>1</v>
      </c>
      <c r="F161">
        <v>1</v>
      </c>
      <c r="G161">
        <v>1</v>
      </c>
      <c r="H161">
        <v>3</v>
      </c>
      <c r="I161" t="s">
        <v>187</v>
      </c>
      <c r="J161" t="s">
        <v>189</v>
      </c>
      <c r="K161" t="s">
        <v>188</v>
      </c>
      <c r="L161">
        <v>1327</v>
      </c>
      <c r="N161">
        <v>1005</v>
      </c>
      <c r="O161" t="s">
        <v>61</v>
      </c>
      <c r="P161" t="s">
        <v>61</v>
      </c>
      <c r="Q161">
        <v>1</v>
      </c>
      <c r="W161">
        <v>1</v>
      </c>
      <c r="X161">
        <v>2046761779</v>
      </c>
      <c r="Y161">
        <v>-102</v>
      </c>
      <c r="AA161">
        <v>860.96</v>
      </c>
      <c r="AB161">
        <v>0</v>
      </c>
      <c r="AC161">
        <v>0</v>
      </c>
      <c r="AD161">
        <v>0</v>
      </c>
      <c r="AE161">
        <v>140.44999999999999</v>
      </c>
      <c r="AF161">
        <v>0</v>
      </c>
      <c r="AG161">
        <v>0</v>
      </c>
      <c r="AH161">
        <v>0</v>
      </c>
      <c r="AI161">
        <v>6.13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-102</v>
      </c>
      <c r="AU161" t="s">
        <v>3</v>
      </c>
      <c r="AV161">
        <v>0</v>
      </c>
      <c r="AW161">
        <v>2</v>
      </c>
      <c r="AX161">
        <v>39477892</v>
      </c>
      <c r="AY161">
        <v>1</v>
      </c>
      <c r="AZ161">
        <v>6144</v>
      </c>
      <c r="BA161">
        <v>154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Y161*Source!I63</f>
        <v>-6.12</v>
      </c>
      <c r="CY161">
        <f>AA161</f>
        <v>860.96</v>
      </c>
      <c r="CZ161">
        <f>AE161</f>
        <v>140.44999999999999</v>
      </c>
      <c r="DA161">
        <f>AI161</f>
        <v>6.13</v>
      </c>
      <c r="DB161">
        <v>0</v>
      </c>
    </row>
    <row r="162" spans="1:106" x14ac:dyDescent="0.2">
      <c r="A162">
        <f>ROW(Source!A63)</f>
        <v>63</v>
      </c>
      <c r="B162">
        <v>39476960</v>
      </c>
      <c r="C162">
        <v>39477883</v>
      </c>
      <c r="D162">
        <v>36821601</v>
      </c>
      <c r="E162">
        <v>1</v>
      </c>
      <c r="F162">
        <v>1</v>
      </c>
      <c r="G162">
        <v>1</v>
      </c>
      <c r="H162">
        <v>3</v>
      </c>
      <c r="I162" t="s">
        <v>191</v>
      </c>
      <c r="J162" t="s">
        <v>193</v>
      </c>
      <c r="K162" t="s">
        <v>192</v>
      </c>
      <c r="L162">
        <v>1327</v>
      </c>
      <c r="N162">
        <v>1005</v>
      </c>
      <c r="O162" t="s">
        <v>61</v>
      </c>
      <c r="P162" t="s">
        <v>61</v>
      </c>
      <c r="Q162">
        <v>1</v>
      </c>
      <c r="W162">
        <v>0</v>
      </c>
      <c r="X162">
        <v>-1419244649</v>
      </c>
      <c r="Y162">
        <v>102</v>
      </c>
      <c r="AA162">
        <v>348</v>
      </c>
      <c r="AB162">
        <v>0</v>
      </c>
      <c r="AC162">
        <v>0</v>
      </c>
      <c r="AD162">
        <v>0</v>
      </c>
      <c r="AE162">
        <v>56.77</v>
      </c>
      <c r="AF162">
        <v>0</v>
      </c>
      <c r="AG162">
        <v>0</v>
      </c>
      <c r="AH162">
        <v>0</v>
      </c>
      <c r="AI162">
        <v>6.13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3</v>
      </c>
      <c r="AT162">
        <v>102</v>
      </c>
      <c r="AU162" t="s">
        <v>3</v>
      </c>
      <c r="AV162">
        <v>0</v>
      </c>
      <c r="AW162">
        <v>1</v>
      </c>
      <c r="AX162">
        <v>-1</v>
      </c>
      <c r="AY162">
        <v>0</v>
      </c>
      <c r="AZ162">
        <v>0</v>
      </c>
      <c r="BA162" t="s">
        <v>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Y162*Source!I63</f>
        <v>6.12</v>
      </c>
      <c r="CY162">
        <f>AA162</f>
        <v>348</v>
      </c>
      <c r="CZ162">
        <f>AE162</f>
        <v>56.77</v>
      </c>
      <c r="DA162">
        <f>AI162</f>
        <v>6.13</v>
      </c>
      <c r="DB162">
        <v>0</v>
      </c>
    </row>
    <row r="163" spans="1:106" x14ac:dyDescent="0.2">
      <c r="A163">
        <f>ROW(Source!A63)</f>
        <v>63</v>
      </c>
      <c r="B163">
        <v>39476960</v>
      </c>
      <c r="C163">
        <v>39477883</v>
      </c>
      <c r="D163">
        <v>36837090</v>
      </c>
      <c r="E163">
        <v>1</v>
      </c>
      <c r="F163">
        <v>1</v>
      </c>
      <c r="G163">
        <v>1</v>
      </c>
      <c r="H163">
        <v>3</v>
      </c>
      <c r="I163" t="s">
        <v>1017</v>
      </c>
      <c r="J163" t="s">
        <v>1018</v>
      </c>
      <c r="K163" t="s">
        <v>1019</v>
      </c>
      <c r="L163">
        <v>1346</v>
      </c>
      <c r="N163">
        <v>1009</v>
      </c>
      <c r="O163" t="s">
        <v>217</v>
      </c>
      <c r="P163" t="s">
        <v>217</v>
      </c>
      <c r="Q163">
        <v>1</v>
      </c>
      <c r="W163">
        <v>0</v>
      </c>
      <c r="X163">
        <v>830044740</v>
      </c>
      <c r="Y163">
        <v>1200</v>
      </c>
      <c r="AA163">
        <v>22.62</v>
      </c>
      <c r="AB163">
        <v>0</v>
      </c>
      <c r="AC163">
        <v>0</v>
      </c>
      <c r="AD163">
        <v>0</v>
      </c>
      <c r="AE163">
        <v>3.69</v>
      </c>
      <c r="AF163">
        <v>0</v>
      </c>
      <c r="AG163">
        <v>0</v>
      </c>
      <c r="AH163">
        <v>0</v>
      </c>
      <c r="AI163">
        <v>6.13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1200</v>
      </c>
      <c r="AU163" t="s">
        <v>3</v>
      </c>
      <c r="AV163">
        <v>0</v>
      </c>
      <c r="AW163">
        <v>2</v>
      </c>
      <c r="AX163">
        <v>39477894</v>
      </c>
      <c r="AY163">
        <v>1</v>
      </c>
      <c r="AZ163">
        <v>0</v>
      </c>
      <c r="BA163">
        <v>156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Y163*Source!I63</f>
        <v>72</v>
      </c>
      <c r="CY163">
        <f>AA163</f>
        <v>22.62</v>
      </c>
      <c r="CZ163">
        <f>AE163</f>
        <v>3.69</v>
      </c>
      <c r="DA163">
        <f>AI163</f>
        <v>6.13</v>
      </c>
      <c r="DB163">
        <v>0</v>
      </c>
    </row>
    <row r="164" spans="1:106" x14ac:dyDescent="0.2">
      <c r="A164">
        <f>ROW(Source!A66)</f>
        <v>66</v>
      </c>
      <c r="B164">
        <v>39476960</v>
      </c>
      <c r="C164">
        <v>39477901</v>
      </c>
      <c r="D164">
        <v>37072767</v>
      </c>
      <c r="E164">
        <v>1</v>
      </c>
      <c r="F164">
        <v>1</v>
      </c>
      <c r="G164">
        <v>1</v>
      </c>
      <c r="H164">
        <v>1</v>
      </c>
      <c r="I164" t="s">
        <v>949</v>
      </c>
      <c r="J164" t="s">
        <v>3</v>
      </c>
      <c r="K164" t="s">
        <v>950</v>
      </c>
      <c r="L164">
        <v>1191</v>
      </c>
      <c r="N164">
        <v>1013</v>
      </c>
      <c r="O164" t="s">
        <v>796</v>
      </c>
      <c r="P164" t="s">
        <v>796</v>
      </c>
      <c r="Q164">
        <v>1</v>
      </c>
      <c r="W164">
        <v>0</v>
      </c>
      <c r="X164">
        <v>-1027537862</v>
      </c>
      <c r="Y164">
        <v>69.206999999999994</v>
      </c>
      <c r="AA164">
        <v>0</v>
      </c>
      <c r="AB164">
        <v>0</v>
      </c>
      <c r="AC164">
        <v>0</v>
      </c>
      <c r="AD164">
        <v>56.27</v>
      </c>
      <c r="AE164">
        <v>0</v>
      </c>
      <c r="AF164">
        <v>0</v>
      </c>
      <c r="AG164">
        <v>0</v>
      </c>
      <c r="AH164">
        <v>9.18</v>
      </c>
      <c r="AI164">
        <v>1</v>
      </c>
      <c r="AJ164">
        <v>1</v>
      </c>
      <c r="AK164">
        <v>1</v>
      </c>
      <c r="AL164">
        <v>6.13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50.15</v>
      </c>
      <c r="AU164" t="s">
        <v>54</v>
      </c>
      <c r="AV164">
        <v>1</v>
      </c>
      <c r="AW164">
        <v>2</v>
      </c>
      <c r="AX164">
        <v>39477902</v>
      </c>
      <c r="AY164">
        <v>1</v>
      </c>
      <c r="AZ164">
        <v>0</v>
      </c>
      <c r="BA164">
        <v>158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Y164*Source!I66</f>
        <v>160.90627499999999</v>
      </c>
      <c r="CY164">
        <f>AD164</f>
        <v>56.27</v>
      </c>
      <c r="CZ164">
        <f>AH164</f>
        <v>9.18</v>
      </c>
      <c r="DA164">
        <f>AL164</f>
        <v>6.13</v>
      </c>
      <c r="DB164">
        <v>0</v>
      </c>
    </row>
    <row r="165" spans="1:106" x14ac:dyDescent="0.2">
      <c r="A165">
        <f>ROW(Source!A66)</f>
        <v>66</v>
      </c>
      <c r="B165">
        <v>39476960</v>
      </c>
      <c r="C165">
        <v>39477901</v>
      </c>
      <c r="D165">
        <v>37064876</v>
      </c>
      <c r="E165">
        <v>1</v>
      </c>
      <c r="F165">
        <v>1</v>
      </c>
      <c r="G165">
        <v>1</v>
      </c>
      <c r="H165">
        <v>1</v>
      </c>
      <c r="I165" t="s">
        <v>797</v>
      </c>
      <c r="J165" t="s">
        <v>3</v>
      </c>
      <c r="K165" t="s">
        <v>798</v>
      </c>
      <c r="L165">
        <v>1191</v>
      </c>
      <c r="N165">
        <v>1013</v>
      </c>
      <c r="O165" t="s">
        <v>796</v>
      </c>
      <c r="P165" t="s">
        <v>796</v>
      </c>
      <c r="Q165">
        <v>1</v>
      </c>
      <c r="W165">
        <v>0</v>
      </c>
      <c r="X165">
        <v>-1417349443</v>
      </c>
      <c r="Y165">
        <v>0.87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6.13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0.87</v>
      </c>
      <c r="AU165" t="s">
        <v>3</v>
      </c>
      <c r="AV165">
        <v>2</v>
      </c>
      <c r="AW165">
        <v>2</v>
      </c>
      <c r="AX165">
        <v>39477903</v>
      </c>
      <c r="AY165">
        <v>1</v>
      </c>
      <c r="AZ165">
        <v>2048</v>
      </c>
      <c r="BA165">
        <v>159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Y165*Source!I66</f>
        <v>2.0227500000000003</v>
      </c>
      <c r="CY165">
        <f>AD165</f>
        <v>0</v>
      </c>
      <c r="CZ165">
        <f>AH165</f>
        <v>0</v>
      </c>
      <c r="DA165">
        <f>AL165</f>
        <v>1</v>
      </c>
      <c r="DB165">
        <v>0</v>
      </c>
    </row>
    <row r="166" spans="1:106" x14ac:dyDescent="0.2">
      <c r="A166">
        <f>ROW(Source!A66)</f>
        <v>66</v>
      </c>
      <c r="B166">
        <v>39476960</v>
      </c>
      <c r="C166">
        <v>39477901</v>
      </c>
      <c r="D166">
        <v>36882452</v>
      </c>
      <c r="E166">
        <v>1</v>
      </c>
      <c r="F166">
        <v>1</v>
      </c>
      <c r="G166">
        <v>1</v>
      </c>
      <c r="H166">
        <v>2</v>
      </c>
      <c r="I166" t="s">
        <v>799</v>
      </c>
      <c r="J166" t="s">
        <v>800</v>
      </c>
      <c r="K166" t="s">
        <v>801</v>
      </c>
      <c r="L166">
        <v>1368</v>
      </c>
      <c r="N166">
        <v>1011</v>
      </c>
      <c r="O166" t="s">
        <v>802</v>
      </c>
      <c r="P166" t="s">
        <v>802</v>
      </c>
      <c r="Q166">
        <v>1</v>
      </c>
      <c r="W166">
        <v>0</v>
      </c>
      <c r="X166">
        <v>1188625873</v>
      </c>
      <c r="Y166">
        <v>0.16500000000000001</v>
      </c>
      <c r="AA166">
        <v>0</v>
      </c>
      <c r="AB166">
        <v>191.62</v>
      </c>
      <c r="AC166">
        <v>13.5</v>
      </c>
      <c r="AD166">
        <v>0</v>
      </c>
      <c r="AE166">
        <v>0</v>
      </c>
      <c r="AF166">
        <v>31.26</v>
      </c>
      <c r="AG166">
        <v>13.5</v>
      </c>
      <c r="AH166">
        <v>0</v>
      </c>
      <c r="AI166">
        <v>1</v>
      </c>
      <c r="AJ166">
        <v>6.13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0.11</v>
      </c>
      <c r="AU166" t="s">
        <v>53</v>
      </c>
      <c r="AV166">
        <v>0</v>
      </c>
      <c r="AW166">
        <v>2</v>
      </c>
      <c r="AX166">
        <v>39477904</v>
      </c>
      <c r="AY166">
        <v>1</v>
      </c>
      <c r="AZ166">
        <v>0</v>
      </c>
      <c r="BA166">
        <v>160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Y166*Source!I66</f>
        <v>0.38362500000000005</v>
      </c>
      <c r="CY166">
        <f>AB166</f>
        <v>191.62</v>
      </c>
      <c r="CZ166">
        <f>AF166</f>
        <v>31.26</v>
      </c>
      <c r="DA166">
        <f>AJ166</f>
        <v>6.13</v>
      </c>
      <c r="DB166">
        <v>0</v>
      </c>
    </row>
    <row r="167" spans="1:106" x14ac:dyDescent="0.2">
      <c r="A167">
        <f>ROW(Source!A66)</f>
        <v>66</v>
      </c>
      <c r="B167">
        <v>39476960</v>
      </c>
      <c r="C167">
        <v>39477901</v>
      </c>
      <c r="D167">
        <v>36883554</v>
      </c>
      <c r="E167">
        <v>1</v>
      </c>
      <c r="F167">
        <v>1</v>
      </c>
      <c r="G167">
        <v>1</v>
      </c>
      <c r="H167">
        <v>2</v>
      </c>
      <c r="I167" t="s">
        <v>834</v>
      </c>
      <c r="J167" t="s">
        <v>835</v>
      </c>
      <c r="K167" t="s">
        <v>836</v>
      </c>
      <c r="L167">
        <v>1368</v>
      </c>
      <c r="N167">
        <v>1011</v>
      </c>
      <c r="O167" t="s">
        <v>802</v>
      </c>
      <c r="P167" t="s">
        <v>802</v>
      </c>
      <c r="Q167">
        <v>1</v>
      </c>
      <c r="W167">
        <v>0</v>
      </c>
      <c r="X167">
        <v>1372534845</v>
      </c>
      <c r="Y167">
        <v>1.1399999999999999</v>
      </c>
      <c r="AA167">
        <v>0</v>
      </c>
      <c r="AB167">
        <v>402.8</v>
      </c>
      <c r="AC167">
        <v>11.6</v>
      </c>
      <c r="AD167">
        <v>0</v>
      </c>
      <c r="AE167">
        <v>0</v>
      </c>
      <c r="AF167">
        <v>65.709999999999994</v>
      </c>
      <c r="AG167">
        <v>11.6</v>
      </c>
      <c r="AH167">
        <v>0</v>
      </c>
      <c r="AI167">
        <v>1</v>
      </c>
      <c r="AJ167">
        <v>6.13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0.76</v>
      </c>
      <c r="AU167" t="s">
        <v>53</v>
      </c>
      <c r="AV167">
        <v>0</v>
      </c>
      <c r="AW167">
        <v>2</v>
      </c>
      <c r="AX167">
        <v>39477905</v>
      </c>
      <c r="AY167">
        <v>1</v>
      </c>
      <c r="AZ167">
        <v>0</v>
      </c>
      <c r="BA167">
        <v>161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Y167*Source!I66</f>
        <v>2.6505000000000001</v>
      </c>
      <c r="CY167">
        <f>AB167</f>
        <v>402.8</v>
      </c>
      <c r="CZ167">
        <f>AF167</f>
        <v>65.709999999999994</v>
      </c>
      <c r="DA167">
        <f>AJ167</f>
        <v>6.13</v>
      </c>
      <c r="DB167">
        <v>0</v>
      </c>
    </row>
    <row r="168" spans="1:106" x14ac:dyDescent="0.2">
      <c r="A168">
        <f>ROW(Source!A66)</f>
        <v>66</v>
      </c>
      <c r="B168">
        <v>39476960</v>
      </c>
      <c r="C168">
        <v>39477901</v>
      </c>
      <c r="D168">
        <v>36797506</v>
      </c>
      <c r="E168">
        <v>17</v>
      </c>
      <c r="F168">
        <v>1</v>
      </c>
      <c r="G168">
        <v>1</v>
      </c>
      <c r="H168">
        <v>3</v>
      </c>
      <c r="I168" t="s">
        <v>220</v>
      </c>
      <c r="J168" t="s">
        <v>3</v>
      </c>
      <c r="K168" t="s">
        <v>221</v>
      </c>
      <c r="L168">
        <v>1327</v>
      </c>
      <c r="N168">
        <v>1005</v>
      </c>
      <c r="O168" t="s">
        <v>61</v>
      </c>
      <c r="P168" t="s">
        <v>61</v>
      </c>
      <c r="Q168">
        <v>1</v>
      </c>
      <c r="W168">
        <v>0</v>
      </c>
      <c r="X168">
        <v>-112006704</v>
      </c>
      <c r="Y168">
        <v>101.4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6.13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3</v>
      </c>
      <c r="AT168">
        <v>101.4</v>
      </c>
      <c r="AU168" t="s">
        <v>3</v>
      </c>
      <c r="AV168">
        <v>0</v>
      </c>
      <c r="AW168">
        <v>2</v>
      </c>
      <c r="AX168">
        <v>39477906</v>
      </c>
      <c r="AY168">
        <v>1</v>
      </c>
      <c r="AZ168">
        <v>0</v>
      </c>
      <c r="BA168">
        <v>162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Y168*Source!I66</f>
        <v>235.75500000000002</v>
      </c>
      <c r="CY168">
        <f t="shared" ref="CY168:CY183" si="21">AA168</f>
        <v>0</v>
      </c>
      <c r="CZ168">
        <f t="shared" ref="CZ168:CZ183" si="22">AE168</f>
        <v>0</v>
      </c>
      <c r="DA168">
        <f t="shared" ref="DA168:DA183" si="23">AI168</f>
        <v>6.13</v>
      </c>
      <c r="DB168">
        <v>0</v>
      </c>
    </row>
    <row r="169" spans="1:106" x14ac:dyDescent="0.2">
      <c r="A169">
        <f>ROW(Source!A66)</f>
        <v>66</v>
      </c>
      <c r="B169">
        <v>39476960</v>
      </c>
      <c r="C169">
        <v>39477901</v>
      </c>
      <c r="D169">
        <v>36804545</v>
      </c>
      <c r="E169">
        <v>1</v>
      </c>
      <c r="F169">
        <v>1</v>
      </c>
      <c r="G169">
        <v>1</v>
      </c>
      <c r="H169">
        <v>3</v>
      </c>
      <c r="I169" t="s">
        <v>846</v>
      </c>
      <c r="J169" t="s">
        <v>847</v>
      </c>
      <c r="K169" t="s">
        <v>848</v>
      </c>
      <c r="L169">
        <v>1348</v>
      </c>
      <c r="N169">
        <v>1009</v>
      </c>
      <c r="O169" t="s">
        <v>34</v>
      </c>
      <c r="P169" t="s">
        <v>34</v>
      </c>
      <c r="Q169">
        <v>1000</v>
      </c>
      <c r="W169">
        <v>0</v>
      </c>
      <c r="X169">
        <v>1174701286</v>
      </c>
      <c r="Y169">
        <v>1.1E-4</v>
      </c>
      <c r="AA169">
        <v>73425.14</v>
      </c>
      <c r="AB169">
        <v>0</v>
      </c>
      <c r="AC169">
        <v>0</v>
      </c>
      <c r="AD169">
        <v>0</v>
      </c>
      <c r="AE169">
        <v>11978</v>
      </c>
      <c r="AF169">
        <v>0</v>
      </c>
      <c r="AG169">
        <v>0</v>
      </c>
      <c r="AH169">
        <v>0</v>
      </c>
      <c r="AI169">
        <v>6.13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1.1E-4</v>
      </c>
      <c r="AU169" t="s">
        <v>3</v>
      </c>
      <c r="AV169">
        <v>0</v>
      </c>
      <c r="AW169">
        <v>2</v>
      </c>
      <c r="AX169">
        <v>39477907</v>
      </c>
      <c r="AY169">
        <v>1</v>
      </c>
      <c r="AZ169">
        <v>0</v>
      </c>
      <c r="BA169">
        <v>163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Y169*Source!I66</f>
        <v>2.5575000000000001E-4</v>
      </c>
      <c r="CY169">
        <f t="shared" si="21"/>
        <v>73425.14</v>
      </c>
      <c r="CZ169">
        <f t="shared" si="22"/>
        <v>11978</v>
      </c>
      <c r="DA169">
        <f t="shared" si="23"/>
        <v>6.13</v>
      </c>
      <c r="DB169">
        <v>0</v>
      </c>
    </row>
    <row r="170" spans="1:106" x14ac:dyDescent="0.2">
      <c r="A170">
        <f>ROW(Source!A66)</f>
        <v>66</v>
      </c>
      <c r="B170">
        <v>39476960</v>
      </c>
      <c r="C170">
        <v>39477901</v>
      </c>
      <c r="D170">
        <v>36804953</v>
      </c>
      <c r="E170">
        <v>1</v>
      </c>
      <c r="F170">
        <v>1</v>
      </c>
      <c r="G170">
        <v>1</v>
      </c>
      <c r="H170">
        <v>3</v>
      </c>
      <c r="I170" t="s">
        <v>1020</v>
      </c>
      <c r="J170" t="s">
        <v>1021</v>
      </c>
      <c r="K170" t="s">
        <v>1022</v>
      </c>
      <c r="L170">
        <v>1348</v>
      </c>
      <c r="N170">
        <v>1009</v>
      </c>
      <c r="O170" t="s">
        <v>34</v>
      </c>
      <c r="P170" t="s">
        <v>34</v>
      </c>
      <c r="Q170">
        <v>1000</v>
      </c>
      <c r="W170">
        <v>0</v>
      </c>
      <c r="X170">
        <v>-34039275</v>
      </c>
      <c r="Y170">
        <v>9.0000000000000006E-5</v>
      </c>
      <c r="AA170">
        <v>69575.5</v>
      </c>
      <c r="AB170">
        <v>0</v>
      </c>
      <c r="AC170">
        <v>0</v>
      </c>
      <c r="AD170">
        <v>0</v>
      </c>
      <c r="AE170">
        <v>11350</v>
      </c>
      <c r="AF170">
        <v>0</v>
      </c>
      <c r="AG170">
        <v>0</v>
      </c>
      <c r="AH170">
        <v>0</v>
      </c>
      <c r="AI170">
        <v>6.13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9.0000000000000006E-5</v>
      </c>
      <c r="AU170" t="s">
        <v>3</v>
      </c>
      <c r="AV170">
        <v>0</v>
      </c>
      <c r="AW170">
        <v>2</v>
      </c>
      <c r="AX170">
        <v>39477908</v>
      </c>
      <c r="AY170">
        <v>1</v>
      </c>
      <c r="AZ170">
        <v>0</v>
      </c>
      <c r="BA170">
        <v>164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Y170*Source!I66</f>
        <v>2.0925000000000002E-4</v>
      </c>
      <c r="CY170">
        <f t="shared" si="21"/>
        <v>69575.5</v>
      </c>
      <c r="CZ170">
        <f t="shared" si="22"/>
        <v>11350</v>
      </c>
      <c r="DA170">
        <f t="shared" si="23"/>
        <v>6.13</v>
      </c>
      <c r="DB170">
        <v>0</v>
      </c>
    </row>
    <row r="171" spans="1:106" x14ac:dyDescent="0.2">
      <c r="A171">
        <f>ROW(Source!A66)</f>
        <v>66</v>
      </c>
      <c r="B171">
        <v>39476960</v>
      </c>
      <c r="C171">
        <v>39477901</v>
      </c>
      <c r="D171">
        <v>36805188</v>
      </c>
      <c r="E171">
        <v>1</v>
      </c>
      <c r="F171">
        <v>1</v>
      </c>
      <c r="G171">
        <v>1</v>
      </c>
      <c r="H171">
        <v>3</v>
      </c>
      <c r="I171" t="s">
        <v>1023</v>
      </c>
      <c r="J171" t="s">
        <v>1024</v>
      </c>
      <c r="K171" t="s">
        <v>1025</v>
      </c>
      <c r="L171">
        <v>1327</v>
      </c>
      <c r="N171">
        <v>1005</v>
      </c>
      <c r="O171" t="s">
        <v>61</v>
      </c>
      <c r="P171" t="s">
        <v>61</v>
      </c>
      <c r="Q171">
        <v>1</v>
      </c>
      <c r="W171">
        <v>0</v>
      </c>
      <c r="X171">
        <v>-1987926685</v>
      </c>
      <c r="Y171">
        <v>5.0000000000000001E-4</v>
      </c>
      <c r="AA171">
        <v>443.32</v>
      </c>
      <c r="AB171">
        <v>0</v>
      </c>
      <c r="AC171">
        <v>0</v>
      </c>
      <c r="AD171">
        <v>0</v>
      </c>
      <c r="AE171">
        <v>72.319999999999993</v>
      </c>
      <c r="AF171">
        <v>0</v>
      </c>
      <c r="AG171">
        <v>0</v>
      </c>
      <c r="AH171">
        <v>0</v>
      </c>
      <c r="AI171">
        <v>6.13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5.0000000000000001E-4</v>
      </c>
      <c r="AU171" t="s">
        <v>3</v>
      </c>
      <c r="AV171">
        <v>0</v>
      </c>
      <c r="AW171">
        <v>2</v>
      </c>
      <c r="AX171">
        <v>39477909</v>
      </c>
      <c r="AY171">
        <v>1</v>
      </c>
      <c r="AZ171">
        <v>0</v>
      </c>
      <c r="BA171">
        <v>165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Y171*Source!I66</f>
        <v>1.1625000000000001E-3</v>
      </c>
      <c r="CY171">
        <f t="shared" si="21"/>
        <v>443.32</v>
      </c>
      <c r="CZ171">
        <f t="shared" si="22"/>
        <v>72.319999999999993</v>
      </c>
      <c r="DA171">
        <f t="shared" si="23"/>
        <v>6.13</v>
      </c>
      <c r="DB171">
        <v>0</v>
      </c>
    </row>
    <row r="172" spans="1:106" x14ac:dyDescent="0.2">
      <c r="A172">
        <f>ROW(Source!A66)</f>
        <v>66</v>
      </c>
      <c r="B172">
        <v>39476960</v>
      </c>
      <c r="C172">
        <v>39477901</v>
      </c>
      <c r="D172">
        <v>36805524</v>
      </c>
      <c r="E172">
        <v>1</v>
      </c>
      <c r="F172">
        <v>1</v>
      </c>
      <c r="G172">
        <v>1</v>
      </c>
      <c r="H172">
        <v>3</v>
      </c>
      <c r="I172" t="s">
        <v>960</v>
      </c>
      <c r="J172" t="s">
        <v>961</v>
      </c>
      <c r="K172" t="s">
        <v>962</v>
      </c>
      <c r="L172">
        <v>1346</v>
      </c>
      <c r="N172">
        <v>1009</v>
      </c>
      <c r="O172" t="s">
        <v>217</v>
      </c>
      <c r="P172" t="s">
        <v>217</v>
      </c>
      <c r="Q172">
        <v>1</v>
      </c>
      <c r="W172">
        <v>0</v>
      </c>
      <c r="X172">
        <v>813963326</v>
      </c>
      <c r="Y172">
        <v>0.25</v>
      </c>
      <c r="AA172">
        <v>11.16</v>
      </c>
      <c r="AB172">
        <v>0</v>
      </c>
      <c r="AC172">
        <v>0</v>
      </c>
      <c r="AD172">
        <v>0</v>
      </c>
      <c r="AE172">
        <v>1.82</v>
      </c>
      <c r="AF172">
        <v>0</v>
      </c>
      <c r="AG172">
        <v>0</v>
      </c>
      <c r="AH172">
        <v>0</v>
      </c>
      <c r="AI172">
        <v>6.13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0.25</v>
      </c>
      <c r="AU172" t="s">
        <v>3</v>
      </c>
      <c r="AV172">
        <v>0</v>
      </c>
      <c r="AW172">
        <v>2</v>
      </c>
      <c r="AX172">
        <v>39477910</v>
      </c>
      <c r="AY172">
        <v>1</v>
      </c>
      <c r="AZ172">
        <v>0</v>
      </c>
      <c r="BA172">
        <v>166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Y172*Source!I66</f>
        <v>0.58125000000000004</v>
      </c>
      <c r="CY172">
        <f t="shared" si="21"/>
        <v>11.16</v>
      </c>
      <c r="CZ172">
        <f t="shared" si="22"/>
        <v>1.82</v>
      </c>
      <c r="DA172">
        <f t="shared" si="23"/>
        <v>6.13</v>
      </c>
      <c r="DB172">
        <v>0</v>
      </c>
    </row>
    <row r="173" spans="1:106" x14ac:dyDescent="0.2">
      <c r="A173">
        <f>ROW(Source!A66)</f>
        <v>66</v>
      </c>
      <c r="B173">
        <v>39476960</v>
      </c>
      <c r="C173">
        <v>39477901</v>
      </c>
      <c r="D173">
        <v>36830316</v>
      </c>
      <c r="E173">
        <v>1</v>
      </c>
      <c r="F173">
        <v>1</v>
      </c>
      <c r="G173">
        <v>1</v>
      </c>
      <c r="H173">
        <v>3</v>
      </c>
      <c r="I173" t="s">
        <v>1026</v>
      </c>
      <c r="J173" t="s">
        <v>1027</v>
      </c>
      <c r="K173" t="s">
        <v>1028</v>
      </c>
      <c r="L173">
        <v>1339</v>
      </c>
      <c r="N173">
        <v>1007</v>
      </c>
      <c r="O173" t="s">
        <v>25</v>
      </c>
      <c r="P173" t="s">
        <v>25</v>
      </c>
      <c r="Q173">
        <v>1</v>
      </c>
      <c r="W173">
        <v>0</v>
      </c>
      <c r="X173">
        <v>1443343806</v>
      </c>
      <c r="Y173">
        <v>5.0000000000000001E-3</v>
      </c>
      <c r="AA173">
        <v>6473.28</v>
      </c>
      <c r="AB173">
        <v>0</v>
      </c>
      <c r="AC173">
        <v>0</v>
      </c>
      <c r="AD173">
        <v>0</v>
      </c>
      <c r="AE173">
        <v>1056</v>
      </c>
      <c r="AF173">
        <v>0</v>
      </c>
      <c r="AG173">
        <v>0</v>
      </c>
      <c r="AH173">
        <v>0</v>
      </c>
      <c r="AI173">
        <v>6.13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5.0000000000000001E-3</v>
      </c>
      <c r="AU173" t="s">
        <v>3</v>
      </c>
      <c r="AV173">
        <v>0</v>
      </c>
      <c r="AW173">
        <v>2</v>
      </c>
      <c r="AX173">
        <v>39477911</v>
      </c>
      <c r="AY173">
        <v>1</v>
      </c>
      <c r="AZ173">
        <v>0</v>
      </c>
      <c r="BA173">
        <v>167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Y173*Source!I66</f>
        <v>1.1625000000000002E-2</v>
      </c>
      <c r="CY173">
        <f t="shared" si="21"/>
        <v>6473.28</v>
      </c>
      <c r="CZ173">
        <f t="shared" si="22"/>
        <v>1056</v>
      </c>
      <c r="DA173">
        <f t="shared" si="23"/>
        <v>6.13</v>
      </c>
      <c r="DB173">
        <v>0</v>
      </c>
    </row>
    <row r="174" spans="1:106" x14ac:dyDescent="0.2">
      <c r="A174">
        <f>ROW(Source!A66)</f>
        <v>66</v>
      </c>
      <c r="B174">
        <v>39476960</v>
      </c>
      <c r="C174">
        <v>39477901</v>
      </c>
      <c r="D174">
        <v>36797275</v>
      </c>
      <c r="E174">
        <v>17</v>
      </c>
      <c r="F174">
        <v>1</v>
      </c>
      <c r="G174">
        <v>1</v>
      </c>
      <c r="H174">
        <v>3</v>
      </c>
      <c r="I174" t="s">
        <v>223</v>
      </c>
      <c r="J174" t="s">
        <v>3</v>
      </c>
      <c r="K174" t="s">
        <v>224</v>
      </c>
      <c r="L174">
        <v>1339</v>
      </c>
      <c r="N174">
        <v>1007</v>
      </c>
      <c r="O174" t="s">
        <v>25</v>
      </c>
      <c r="P174" t="s">
        <v>25</v>
      </c>
      <c r="Q174">
        <v>1</v>
      </c>
      <c r="W174">
        <v>0</v>
      </c>
      <c r="X174">
        <v>1453685779</v>
      </c>
      <c r="Y174">
        <v>0.03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6.13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3</v>
      </c>
      <c r="AT174">
        <v>0.03</v>
      </c>
      <c r="AU174" t="s">
        <v>3</v>
      </c>
      <c r="AV174">
        <v>0</v>
      </c>
      <c r="AW174">
        <v>2</v>
      </c>
      <c r="AX174">
        <v>39477912</v>
      </c>
      <c r="AY174">
        <v>1</v>
      </c>
      <c r="AZ174">
        <v>0</v>
      </c>
      <c r="BA174">
        <v>168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Y174*Source!I66</f>
        <v>6.9750000000000006E-2</v>
      </c>
      <c r="CY174">
        <f t="shared" si="21"/>
        <v>0</v>
      </c>
      <c r="CZ174">
        <f t="shared" si="22"/>
        <v>0</v>
      </c>
      <c r="DA174">
        <f t="shared" si="23"/>
        <v>6.13</v>
      </c>
      <c r="DB174">
        <v>0</v>
      </c>
    </row>
    <row r="175" spans="1:106" x14ac:dyDescent="0.2">
      <c r="A175">
        <f>ROW(Source!A66)</f>
        <v>66</v>
      </c>
      <c r="B175">
        <v>39476960</v>
      </c>
      <c r="C175">
        <v>39477901</v>
      </c>
      <c r="D175">
        <v>36830803</v>
      </c>
      <c r="E175">
        <v>1</v>
      </c>
      <c r="F175">
        <v>1</v>
      </c>
      <c r="G175">
        <v>1</v>
      </c>
      <c r="H175">
        <v>3</v>
      </c>
      <c r="I175" t="s">
        <v>203</v>
      </c>
      <c r="J175" t="s">
        <v>205</v>
      </c>
      <c r="K175" t="s">
        <v>204</v>
      </c>
      <c r="L175">
        <v>1339</v>
      </c>
      <c r="N175">
        <v>1007</v>
      </c>
      <c r="O175" t="s">
        <v>25</v>
      </c>
      <c r="P175" t="s">
        <v>25</v>
      </c>
      <c r="Q175">
        <v>1</v>
      </c>
      <c r="W175">
        <v>0</v>
      </c>
      <c r="X175">
        <v>1578786384</v>
      </c>
      <c r="Y175">
        <v>0.03</v>
      </c>
      <c r="AA175">
        <v>15325</v>
      </c>
      <c r="AB175">
        <v>0</v>
      </c>
      <c r="AC175">
        <v>0</v>
      </c>
      <c r="AD175">
        <v>0</v>
      </c>
      <c r="AE175">
        <v>2500</v>
      </c>
      <c r="AF175">
        <v>0</v>
      </c>
      <c r="AG175">
        <v>0</v>
      </c>
      <c r="AH175">
        <v>0</v>
      </c>
      <c r="AI175">
        <v>6.13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3</v>
      </c>
      <c r="AT175">
        <v>0.03</v>
      </c>
      <c r="AU175" t="s">
        <v>3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Y175*Source!I66</f>
        <v>6.9750000000000006E-2</v>
      </c>
      <c r="CY175">
        <f t="shared" si="21"/>
        <v>15325</v>
      </c>
      <c r="CZ175">
        <f t="shared" si="22"/>
        <v>2500</v>
      </c>
      <c r="DA175">
        <f t="shared" si="23"/>
        <v>6.13</v>
      </c>
      <c r="DB175">
        <v>0</v>
      </c>
    </row>
    <row r="176" spans="1:106" x14ac:dyDescent="0.2">
      <c r="A176">
        <f>ROW(Source!A66)</f>
        <v>66</v>
      </c>
      <c r="B176">
        <v>39476960</v>
      </c>
      <c r="C176">
        <v>39477901</v>
      </c>
      <c r="D176">
        <v>36832159</v>
      </c>
      <c r="E176">
        <v>1</v>
      </c>
      <c r="F176">
        <v>1</v>
      </c>
      <c r="G176">
        <v>1</v>
      </c>
      <c r="H176">
        <v>3</v>
      </c>
      <c r="I176" t="s">
        <v>199</v>
      </c>
      <c r="J176" t="s">
        <v>201</v>
      </c>
      <c r="K176" t="s">
        <v>200</v>
      </c>
      <c r="L176">
        <v>1327</v>
      </c>
      <c r="N176">
        <v>1005</v>
      </c>
      <c r="O176" t="s">
        <v>61</v>
      </c>
      <c r="P176" t="s">
        <v>61</v>
      </c>
      <c r="Q176">
        <v>1</v>
      </c>
      <c r="W176">
        <v>0</v>
      </c>
      <c r="X176">
        <v>238179070</v>
      </c>
      <c r="Y176">
        <v>101.4</v>
      </c>
      <c r="AA176">
        <v>380.55</v>
      </c>
      <c r="AB176">
        <v>0</v>
      </c>
      <c r="AC176">
        <v>0</v>
      </c>
      <c r="AD176">
        <v>0</v>
      </c>
      <c r="AE176">
        <v>62.08</v>
      </c>
      <c r="AF176">
        <v>0</v>
      </c>
      <c r="AG176">
        <v>0</v>
      </c>
      <c r="AH176">
        <v>0</v>
      </c>
      <c r="AI176">
        <v>6.13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3</v>
      </c>
      <c r="AT176">
        <v>101.4</v>
      </c>
      <c r="AU176" t="s">
        <v>3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Y176*Source!I66</f>
        <v>235.75500000000002</v>
      </c>
      <c r="CY176">
        <f t="shared" si="21"/>
        <v>380.55</v>
      </c>
      <c r="CZ176">
        <f t="shared" si="22"/>
        <v>62.08</v>
      </c>
      <c r="DA176">
        <f t="shared" si="23"/>
        <v>6.13</v>
      </c>
      <c r="DB176">
        <v>0</v>
      </c>
    </row>
    <row r="177" spans="1:106" x14ac:dyDescent="0.2">
      <c r="A177">
        <f>ROW(Source!A66)</f>
        <v>66</v>
      </c>
      <c r="B177">
        <v>39476960</v>
      </c>
      <c r="C177">
        <v>39477901</v>
      </c>
      <c r="D177">
        <v>36797510</v>
      </c>
      <c r="E177">
        <v>17</v>
      </c>
      <c r="F177">
        <v>1</v>
      </c>
      <c r="G177">
        <v>1</v>
      </c>
      <c r="H177">
        <v>3</v>
      </c>
      <c r="I177" t="s">
        <v>226</v>
      </c>
      <c r="J177" t="s">
        <v>3</v>
      </c>
      <c r="K177" t="s">
        <v>212</v>
      </c>
      <c r="L177">
        <v>1301</v>
      </c>
      <c r="N177">
        <v>1003</v>
      </c>
      <c r="O177" t="s">
        <v>74</v>
      </c>
      <c r="P177" t="s">
        <v>74</v>
      </c>
      <c r="Q177">
        <v>1</v>
      </c>
      <c r="W177">
        <v>0</v>
      </c>
      <c r="X177">
        <v>499031982</v>
      </c>
      <c r="Y177">
        <v>88.209891999999996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6.13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3</v>
      </c>
      <c r="AT177">
        <v>88.209891999999996</v>
      </c>
      <c r="AU177" t="s">
        <v>3</v>
      </c>
      <c r="AV177">
        <v>0</v>
      </c>
      <c r="AW177">
        <v>2</v>
      </c>
      <c r="AX177">
        <v>39477913</v>
      </c>
      <c r="AY177">
        <v>1</v>
      </c>
      <c r="AZ177">
        <v>6144</v>
      </c>
      <c r="BA177">
        <v>169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Y177*Source!I66</f>
        <v>205.0879989</v>
      </c>
      <c r="CY177">
        <f t="shared" si="21"/>
        <v>0</v>
      </c>
      <c r="CZ177">
        <f t="shared" si="22"/>
        <v>0</v>
      </c>
      <c r="DA177">
        <f t="shared" si="23"/>
        <v>6.13</v>
      </c>
      <c r="DB177">
        <v>0</v>
      </c>
    </row>
    <row r="178" spans="1:106" x14ac:dyDescent="0.2">
      <c r="A178">
        <f>ROW(Source!A66)</f>
        <v>66</v>
      </c>
      <c r="B178">
        <v>39476960</v>
      </c>
      <c r="C178">
        <v>39477901</v>
      </c>
      <c r="D178">
        <v>36797509</v>
      </c>
      <c r="E178">
        <v>17</v>
      </c>
      <c r="F178">
        <v>1</v>
      </c>
      <c r="G178">
        <v>1</v>
      </c>
      <c r="H178">
        <v>3</v>
      </c>
      <c r="I178" t="s">
        <v>226</v>
      </c>
      <c r="J178" t="s">
        <v>3</v>
      </c>
      <c r="K178" t="s">
        <v>208</v>
      </c>
      <c r="L178">
        <v>1301</v>
      </c>
      <c r="N178">
        <v>1003</v>
      </c>
      <c r="O178" t="s">
        <v>74</v>
      </c>
      <c r="P178" t="s">
        <v>74</v>
      </c>
      <c r="Q178">
        <v>1</v>
      </c>
      <c r="W178">
        <v>0</v>
      </c>
      <c r="X178">
        <v>1706276075</v>
      </c>
      <c r="Y178">
        <v>40.4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6.13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3</v>
      </c>
      <c r="AT178">
        <v>40.4</v>
      </c>
      <c r="AU178" t="s">
        <v>3</v>
      </c>
      <c r="AV178">
        <v>0</v>
      </c>
      <c r="AW178">
        <v>2</v>
      </c>
      <c r="AX178">
        <v>39477914</v>
      </c>
      <c r="AY178">
        <v>1</v>
      </c>
      <c r="AZ178">
        <v>0</v>
      </c>
      <c r="BA178">
        <v>170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Y178*Source!I66</f>
        <v>93.93</v>
      </c>
      <c r="CY178">
        <f t="shared" si="21"/>
        <v>0</v>
      </c>
      <c r="CZ178">
        <f t="shared" si="22"/>
        <v>0</v>
      </c>
      <c r="DA178">
        <f t="shared" si="23"/>
        <v>6.13</v>
      </c>
      <c r="DB178">
        <v>0</v>
      </c>
    </row>
    <row r="179" spans="1:106" x14ac:dyDescent="0.2">
      <c r="A179">
        <f>ROW(Source!A66)</f>
        <v>66</v>
      </c>
      <c r="B179">
        <v>39476960</v>
      </c>
      <c r="C179">
        <v>39477901</v>
      </c>
      <c r="D179">
        <v>36832226</v>
      </c>
      <c r="E179">
        <v>1</v>
      </c>
      <c r="F179">
        <v>1</v>
      </c>
      <c r="G179">
        <v>1</v>
      </c>
      <c r="H179">
        <v>3</v>
      </c>
      <c r="I179" t="s">
        <v>207</v>
      </c>
      <c r="J179" t="s">
        <v>209</v>
      </c>
      <c r="K179" t="s">
        <v>208</v>
      </c>
      <c r="L179">
        <v>1301</v>
      </c>
      <c r="N179">
        <v>1003</v>
      </c>
      <c r="O179" t="s">
        <v>74</v>
      </c>
      <c r="P179" t="s">
        <v>74</v>
      </c>
      <c r="Q179">
        <v>1</v>
      </c>
      <c r="W179">
        <v>0</v>
      </c>
      <c r="X179">
        <v>-818904785</v>
      </c>
      <c r="Y179">
        <v>40.4</v>
      </c>
      <c r="AA179">
        <v>32.49</v>
      </c>
      <c r="AB179">
        <v>0</v>
      </c>
      <c r="AC179">
        <v>0</v>
      </c>
      <c r="AD179">
        <v>0</v>
      </c>
      <c r="AE179">
        <v>5.3</v>
      </c>
      <c r="AF179">
        <v>0</v>
      </c>
      <c r="AG179">
        <v>0</v>
      </c>
      <c r="AH179">
        <v>0</v>
      </c>
      <c r="AI179">
        <v>6.13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3</v>
      </c>
      <c r="AT179">
        <v>40.4</v>
      </c>
      <c r="AU179" t="s">
        <v>3</v>
      </c>
      <c r="AV179">
        <v>0</v>
      </c>
      <c r="AW179">
        <v>1</v>
      </c>
      <c r="AX179">
        <v>-1</v>
      </c>
      <c r="AY179">
        <v>0</v>
      </c>
      <c r="AZ179">
        <v>0</v>
      </c>
      <c r="BA179" t="s">
        <v>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Y179*Source!I66</f>
        <v>93.93</v>
      </c>
      <c r="CY179">
        <f t="shared" si="21"/>
        <v>32.49</v>
      </c>
      <c r="CZ179">
        <f t="shared" si="22"/>
        <v>5.3</v>
      </c>
      <c r="DA179">
        <f t="shared" si="23"/>
        <v>6.13</v>
      </c>
      <c r="DB179">
        <v>0</v>
      </c>
    </row>
    <row r="180" spans="1:106" x14ac:dyDescent="0.2">
      <c r="A180">
        <f>ROW(Source!A66)</f>
        <v>66</v>
      </c>
      <c r="B180">
        <v>39476960</v>
      </c>
      <c r="C180">
        <v>39477901</v>
      </c>
      <c r="D180">
        <v>36832227</v>
      </c>
      <c r="E180">
        <v>1</v>
      </c>
      <c r="F180">
        <v>1</v>
      </c>
      <c r="G180">
        <v>1</v>
      </c>
      <c r="H180">
        <v>3</v>
      </c>
      <c r="I180" t="s">
        <v>211</v>
      </c>
      <c r="J180" t="s">
        <v>213</v>
      </c>
      <c r="K180" t="s">
        <v>212</v>
      </c>
      <c r="L180">
        <v>1301</v>
      </c>
      <c r="N180">
        <v>1003</v>
      </c>
      <c r="O180" t="s">
        <v>74</v>
      </c>
      <c r="P180" t="s">
        <v>74</v>
      </c>
      <c r="Q180">
        <v>1</v>
      </c>
      <c r="W180">
        <v>0</v>
      </c>
      <c r="X180">
        <v>-409739188</v>
      </c>
      <c r="Y180">
        <v>88.209891999999996</v>
      </c>
      <c r="AA180">
        <v>32.49</v>
      </c>
      <c r="AB180">
        <v>0</v>
      </c>
      <c r="AC180">
        <v>0</v>
      </c>
      <c r="AD180">
        <v>0</v>
      </c>
      <c r="AE180">
        <v>5.3</v>
      </c>
      <c r="AF180">
        <v>0</v>
      </c>
      <c r="AG180">
        <v>0</v>
      </c>
      <c r="AH180">
        <v>0</v>
      </c>
      <c r="AI180">
        <v>6.13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3</v>
      </c>
      <c r="AT180">
        <v>88.209891999999996</v>
      </c>
      <c r="AU180" t="s">
        <v>3</v>
      </c>
      <c r="AV180">
        <v>0</v>
      </c>
      <c r="AW180">
        <v>1</v>
      </c>
      <c r="AX180">
        <v>-1</v>
      </c>
      <c r="AY180">
        <v>0</v>
      </c>
      <c r="AZ180">
        <v>0</v>
      </c>
      <c r="BA180" t="s">
        <v>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Y180*Source!I66</f>
        <v>205.0879989</v>
      </c>
      <c r="CY180">
        <f t="shared" si="21"/>
        <v>32.49</v>
      </c>
      <c r="CZ180">
        <f t="shared" si="22"/>
        <v>5.3</v>
      </c>
      <c r="DA180">
        <f t="shared" si="23"/>
        <v>6.13</v>
      </c>
      <c r="DB180">
        <v>0</v>
      </c>
    </row>
    <row r="181" spans="1:106" x14ac:dyDescent="0.2">
      <c r="A181">
        <f>ROW(Source!A66)</f>
        <v>66</v>
      </c>
      <c r="B181">
        <v>39476960</v>
      </c>
      <c r="C181">
        <v>39477901</v>
      </c>
      <c r="D181">
        <v>36836956</v>
      </c>
      <c r="E181">
        <v>1</v>
      </c>
      <c r="F181">
        <v>1</v>
      </c>
      <c r="G181">
        <v>1</v>
      </c>
      <c r="H181">
        <v>3</v>
      </c>
      <c r="I181" t="s">
        <v>215</v>
      </c>
      <c r="J181" t="s">
        <v>218</v>
      </c>
      <c r="K181" t="s">
        <v>216</v>
      </c>
      <c r="L181">
        <v>1346</v>
      </c>
      <c r="N181">
        <v>1009</v>
      </c>
      <c r="O181" t="s">
        <v>217</v>
      </c>
      <c r="P181" t="s">
        <v>217</v>
      </c>
      <c r="Q181">
        <v>1</v>
      </c>
      <c r="W181">
        <v>0</v>
      </c>
      <c r="X181">
        <v>-89726692</v>
      </c>
      <c r="Y181">
        <v>0.36</v>
      </c>
      <c r="AA181">
        <v>156.68</v>
      </c>
      <c r="AB181">
        <v>0</v>
      </c>
      <c r="AC181">
        <v>0</v>
      </c>
      <c r="AD181">
        <v>0</v>
      </c>
      <c r="AE181">
        <v>25.56</v>
      </c>
      <c r="AF181">
        <v>0</v>
      </c>
      <c r="AG181">
        <v>0</v>
      </c>
      <c r="AH181">
        <v>0</v>
      </c>
      <c r="AI181">
        <v>6.13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0.36</v>
      </c>
      <c r="AU181" t="s">
        <v>3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Y181*Source!I66</f>
        <v>0.83700000000000008</v>
      </c>
      <c r="CY181">
        <f t="shared" si="21"/>
        <v>156.68</v>
      </c>
      <c r="CZ181">
        <f t="shared" si="22"/>
        <v>25.56</v>
      </c>
      <c r="DA181">
        <f t="shared" si="23"/>
        <v>6.13</v>
      </c>
      <c r="DB181">
        <v>0</v>
      </c>
    </row>
    <row r="182" spans="1:106" x14ac:dyDescent="0.2">
      <c r="A182">
        <f>ROW(Source!A66)</f>
        <v>66</v>
      </c>
      <c r="B182">
        <v>39476960</v>
      </c>
      <c r="C182">
        <v>39477901</v>
      </c>
      <c r="D182">
        <v>36797439</v>
      </c>
      <c r="E182">
        <v>17</v>
      </c>
      <c r="F182">
        <v>1</v>
      </c>
      <c r="G182">
        <v>1</v>
      </c>
      <c r="H182">
        <v>3</v>
      </c>
      <c r="I182" t="s">
        <v>229</v>
      </c>
      <c r="J182" t="s">
        <v>3</v>
      </c>
      <c r="K182" t="s">
        <v>230</v>
      </c>
      <c r="L182">
        <v>1346</v>
      </c>
      <c r="N182">
        <v>1009</v>
      </c>
      <c r="O182" t="s">
        <v>217</v>
      </c>
      <c r="P182" t="s">
        <v>217</v>
      </c>
      <c r="Q182">
        <v>1</v>
      </c>
      <c r="W182">
        <v>0</v>
      </c>
      <c r="X182">
        <v>-1516100259</v>
      </c>
      <c r="Y182">
        <v>0.36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6.13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3</v>
      </c>
      <c r="AT182">
        <v>0.36</v>
      </c>
      <c r="AU182" t="s">
        <v>3</v>
      </c>
      <c r="AV182">
        <v>0</v>
      </c>
      <c r="AW182">
        <v>2</v>
      </c>
      <c r="AX182">
        <v>39477915</v>
      </c>
      <c r="AY182">
        <v>1</v>
      </c>
      <c r="AZ182">
        <v>0</v>
      </c>
      <c r="BA182">
        <v>171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Y182*Source!I66</f>
        <v>0.83700000000000008</v>
      </c>
      <c r="CY182">
        <f t="shared" si="21"/>
        <v>0</v>
      </c>
      <c r="CZ182">
        <f t="shared" si="22"/>
        <v>0</v>
      </c>
      <c r="DA182">
        <f t="shared" si="23"/>
        <v>6.13</v>
      </c>
      <c r="DB182">
        <v>0</v>
      </c>
    </row>
    <row r="183" spans="1:106" x14ac:dyDescent="0.2">
      <c r="A183">
        <f>ROW(Source!A66)</f>
        <v>66</v>
      </c>
      <c r="B183">
        <v>39476960</v>
      </c>
      <c r="C183">
        <v>39477901</v>
      </c>
      <c r="D183">
        <v>36838972</v>
      </c>
      <c r="E183">
        <v>1</v>
      </c>
      <c r="F183">
        <v>1</v>
      </c>
      <c r="G183">
        <v>1</v>
      </c>
      <c r="H183">
        <v>3</v>
      </c>
      <c r="I183" t="s">
        <v>1029</v>
      </c>
      <c r="J183" t="s">
        <v>1030</v>
      </c>
      <c r="K183" t="s">
        <v>1031</v>
      </c>
      <c r="L183">
        <v>1348</v>
      </c>
      <c r="N183">
        <v>1009</v>
      </c>
      <c r="O183" t="s">
        <v>34</v>
      </c>
      <c r="P183" t="s">
        <v>34</v>
      </c>
      <c r="Q183">
        <v>1000</v>
      </c>
      <c r="W183">
        <v>0</v>
      </c>
      <c r="X183">
        <v>1254963396</v>
      </c>
      <c r="Y183">
        <v>3.2599999999999999E-3</v>
      </c>
      <c r="AA183">
        <v>93513.15</v>
      </c>
      <c r="AB183">
        <v>0</v>
      </c>
      <c r="AC183">
        <v>0</v>
      </c>
      <c r="AD183">
        <v>0</v>
      </c>
      <c r="AE183">
        <v>15255</v>
      </c>
      <c r="AF183">
        <v>0</v>
      </c>
      <c r="AG183">
        <v>0</v>
      </c>
      <c r="AH183">
        <v>0</v>
      </c>
      <c r="AI183">
        <v>6.13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3.2599999999999999E-3</v>
      </c>
      <c r="AU183" t="s">
        <v>3</v>
      </c>
      <c r="AV183">
        <v>0</v>
      </c>
      <c r="AW183">
        <v>2</v>
      </c>
      <c r="AX183">
        <v>39477916</v>
      </c>
      <c r="AY183">
        <v>1</v>
      </c>
      <c r="AZ183">
        <v>0</v>
      </c>
      <c r="BA183">
        <v>172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Y183*Source!I66</f>
        <v>7.5795000000000003E-3</v>
      </c>
      <c r="CY183">
        <f t="shared" si="21"/>
        <v>93513.15</v>
      </c>
      <c r="CZ183">
        <f t="shared" si="22"/>
        <v>15255</v>
      </c>
      <c r="DA183">
        <f t="shared" si="23"/>
        <v>6.13</v>
      </c>
      <c r="DB183">
        <v>0</v>
      </c>
    </row>
    <row r="184" spans="1:106" x14ac:dyDescent="0.2">
      <c r="A184">
        <f>ROW(Source!A77)</f>
        <v>77</v>
      </c>
      <c r="B184">
        <v>39476960</v>
      </c>
      <c r="C184">
        <v>39477931</v>
      </c>
      <c r="D184">
        <v>37072767</v>
      </c>
      <c r="E184">
        <v>1</v>
      </c>
      <c r="F184">
        <v>1</v>
      </c>
      <c r="G184">
        <v>1</v>
      </c>
      <c r="H184">
        <v>1</v>
      </c>
      <c r="I184" t="s">
        <v>949</v>
      </c>
      <c r="J184" t="s">
        <v>3</v>
      </c>
      <c r="K184" t="s">
        <v>950</v>
      </c>
      <c r="L184">
        <v>1191</v>
      </c>
      <c r="N184">
        <v>1013</v>
      </c>
      <c r="O184" t="s">
        <v>796</v>
      </c>
      <c r="P184" t="s">
        <v>796</v>
      </c>
      <c r="Q184">
        <v>1</v>
      </c>
      <c r="W184">
        <v>0</v>
      </c>
      <c r="X184">
        <v>-1027537862</v>
      </c>
      <c r="Y184">
        <v>106.50840000000001</v>
      </c>
      <c r="AA184">
        <v>0</v>
      </c>
      <c r="AB184">
        <v>0</v>
      </c>
      <c r="AC184">
        <v>0</v>
      </c>
      <c r="AD184">
        <v>56.27</v>
      </c>
      <c r="AE184">
        <v>0</v>
      </c>
      <c r="AF184">
        <v>0</v>
      </c>
      <c r="AG184">
        <v>0</v>
      </c>
      <c r="AH184">
        <v>9.18</v>
      </c>
      <c r="AI184">
        <v>1</v>
      </c>
      <c r="AJ184">
        <v>1</v>
      </c>
      <c r="AK184">
        <v>1</v>
      </c>
      <c r="AL184">
        <v>6.13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77.180000000000007</v>
      </c>
      <c r="AU184" t="s">
        <v>54</v>
      </c>
      <c r="AV184">
        <v>1</v>
      </c>
      <c r="AW184">
        <v>2</v>
      </c>
      <c r="AX184">
        <v>39477932</v>
      </c>
      <c r="AY184">
        <v>1</v>
      </c>
      <c r="AZ184">
        <v>0</v>
      </c>
      <c r="BA184">
        <v>173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Y184*Source!I77</f>
        <v>40.473192000000004</v>
      </c>
      <c r="CY184">
        <f>AD184</f>
        <v>56.27</v>
      </c>
      <c r="CZ184">
        <f>AH184</f>
        <v>9.18</v>
      </c>
      <c r="DA184">
        <f>AL184</f>
        <v>6.13</v>
      </c>
      <c r="DB184">
        <v>0</v>
      </c>
    </row>
    <row r="185" spans="1:106" x14ac:dyDescent="0.2">
      <c r="A185">
        <f>ROW(Source!A77)</f>
        <v>77</v>
      </c>
      <c r="B185">
        <v>39476960</v>
      </c>
      <c r="C185">
        <v>39477931</v>
      </c>
      <c r="D185">
        <v>37064876</v>
      </c>
      <c r="E185">
        <v>1</v>
      </c>
      <c r="F185">
        <v>1</v>
      </c>
      <c r="G185">
        <v>1</v>
      </c>
      <c r="H185">
        <v>1</v>
      </c>
      <c r="I185" t="s">
        <v>797</v>
      </c>
      <c r="J185" t="s">
        <v>3</v>
      </c>
      <c r="K185" t="s">
        <v>798</v>
      </c>
      <c r="L185">
        <v>1191</v>
      </c>
      <c r="N185">
        <v>1013</v>
      </c>
      <c r="O185" t="s">
        <v>796</v>
      </c>
      <c r="P185" t="s">
        <v>796</v>
      </c>
      <c r="Q185">
        <v>1</v>
      </c>
      <c r="W185">
        <v>0</v>
      </c>
      <c r="X185">
        <v>-1417349443</v>
      </c>
      <c r="Y185">
        <v>1.1100000000000001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6.13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1.1100000000000001</v>
      </c>
      <c r="AU185" t="s">
        <v>3</v>
      </c>
      <c r="AV185">
        <v>2</v>
      </c>
      <c r="AW185">
        <v>2</v>
      </c>
      <c r="AX185">
        <v>39477933</v>
      </c>
      <c r="AY185">
        <v>1</v>
      </c>
      <c r="AZ185">
        <v>2048</v>
      </c>
      <c r="BA185">
        <v>174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Y185*Source!I77</f>
        <v>0.42180000000000006</v>
      </c>
      <c r="CY185">
        <f>AD185</f>
        <v>0</v>
      </c>
      <c r="CZ185">
        <f>AH185</f>
        <v>0</v>
      </c>
      <c r="DA185">
        <f>AL185</f>
        <v>1</v>
      </c>
      <c r="DB185">
        <v>0</v>
      </c>
    </row>
    <row r="186" spans="1:106" x14ac:dyDescent="0.2">
      <c r="A186">
        <f>ROW(Source!A77)</f>
        <v>77</v>
      </c>
      <c r="B186">
        <v>39476960</v>
      </c>
      <c r="C186">
        <v>39477931</v>
      </c>
      <c r="D186">
        <v>36882452</v>
      </c>
      <c r="E186">
        <v>1</v>
      </c>
      <c r="F186">
        <v>1</v>
      </c>
      <c r="G186">
        <v>1</v>
      </c>
      <c r="H186">
        <v>2</v>
      </c>
      <c r="I186" t="s">
        <v>799</v>
      </c>
      <c r="J186" t="s">
        <v>800</v>
      </c>
      <c r="K186" t="s">
        <v>801</v>
      </c>
      <c r="L186">
        <v>1368</v>
      </c>
      <c r="N186">
        <v>1011</v>
      </c>
      <c r="O186" t="s">
        <v>802</v>
      </c>
      <c r="P186" t="s">
        <v>802</v>
      </c>
      <c r="Q186">
        <v>1</v>
      </c>
      <c r="W186">
        <v>0</v>
      </c>
      <c r="X186">
        <v>1188625873</v>
      </c>
      <c r="Y186">
        <v>0.22499999999999998</v>
      </c>
      <c r="AA186">
        <v>0</v>
      </c>
      <c r="AB186">
        <v>191.62</v>
      </c>
      <c r="AC186">
        <v>13.5</v>
      </c>
      <c r="AD186">
        <v>0</v>
      </c>
      <c r="AE186">
        <v>0</v>
      </c>
      <c r="AF186">
        <v>31.26</v>
      </c>
      <c r="AG186">
        <v>13.5</v>
      </c>
      <c r="AH186">
        <v>0</v>
      </c>
      <c r="AI186">
        <v>1</v>
      </c>
      <c r="AJ186">
        <v>6.13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0.15</v>
      </c>
      <c r="AU186" t="s">
        <v>53</v>
      </c>
      <c r="AV186">
        <v>0</v>
      </c>
      <c r="AW186">
        <v>2</v>
      </c>
      <c r="AX186">
        <v>39477934</v>
      </c>
      <c r="AY186">
        <v>1</v>
      </c>
      <c r="AZ186">
        <v>0</v>
      </c>
      <c r="BA186">
        <v>175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Y186*Source!I77</f>
        <v>8.5499999999999993E-2</v>
      </c>
      <c r="CY186">
        <f>AB186</f>
        <v>191.62</v>
      </c>
      <c r="CZ186">
        <f>AF186</f>
        <v>31.26</v>
      </c>
      <c r="DA186">
        <f>AJ186</f>
        <v>6.13</v>
      </c>
      <c r="DB186">
        <v>0</v>
      </c>
    </row>
    <row r="187" spans="1:106" x14ac:dyDescent="0.2">
      <c r="A187">
        <f>ROW(Source!A77)</f>
        <v>77</v>
      </c>
      <c r="B187">
        <v>39476960</v>
      </c>
      <c r="C187">
        <v>39477931</v>
      </c>
      <c r="D187">
        <v>36883554</v>
      </c>
      <c r="E187">
        <v>1</v>
      </c>
      <c r="F187">
        <v>1</v>
      </c>
      <c r="G187">
        <v>1</v>
      </c>
      <c r="H187">
        <v>2</v>
      </c>
      <c r="I187" t="s">
        <v>834</v>
      </c>
      <c r="J187" t="s">
        <v>835</v>
      </c>
      <c r="K187" t="s">
        <v>836</v>
      </c>
      <c r="L187">
        <v>1368</v>
      </c>
      <c r="N187">
        <v>1011</v>
      </c>
      <c r="O187" t="s">
        <v>802</v>
      </c>
      <c r="P187" t="s">
        <v>802</v>
      </c>
      <c r="Q187">
        <v>1</v>
      </c>
      <c r="W187">
        <v>0</v>
      </c>
      <c r="X187">
        <v>1372534845</v>
      </c>
      <c r="Y187">
        <v>1.44</v>
      </c>
      <c r="AA187">
        <v>0</v>
      </c>
      <c r="AB187">
        <v>402.8</v>
      </c>
      <c r="AC187">
        <v>11.6</v>
      </c>
      <c r="AD187">
        <v>0</v>
      </c>
      <c r="AE187">
        <v>0</v>
      </c>
      <c r="AF187">
        <v>65.709999999999994</v>
      </c>
      <c r="AG187">
        <v>11.6</v>
      </c>
      <c r="AH187">
        <v>0</v>
      </c>
      <c r="AI187">
        <v>1</v>
      </c>
      <c r="AJ187">
        <v>6.13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0.96</v>
      </c>
      <c r="AU187" t="s">
        <v>53</v>
      </c>
      <c r="AV187">
        <v>0</v>
      </c>
      <c r="AW187">
        <v>2</v>
      </c>
      <c r="AX187">
        <v>39477935</v>
      </c>
      <c r="AY187">
        <v>1</v>
      </c>
      <c r="AZ187">
        <v>0</v>
      </c>
      <c r="BA187">
        <v>176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Y187*Source!I77</f>
        <v>0.54720000000000002</v>
      </c>
      <c r="CY187">
        <f>AB187</f>
        <v>402.8</v>
      </c>
      <c r="CZ187">
        <f>AF187</f>
        <v>65.709999999999994</v>
      </c>
      <c r="DA187">
        <f>AJ187</f>
        <v>6.13</v>
      </c>
      <c r="DB187">
        <v>0</v>
      </c>
    </row>
    <row r="188" spans="1:106" x14ac:dyDescent="0.2">
      <c r="A188">
        <f>ROW(Source!A77)</f>
        <v>77</v>
      </c>
      <c r="B188">
        <v>39476960</v>
      </c>
      <c r="C188">
        <v>39477931</v>
      </c>
      <c r="D188">
        <v>36797506</v>
      </c>
      <c r="E188">
        <v>17</v>
      </c>
      <c r="F188">
        <v>1</v>
      </c>
      <c r="G188">
        <v>1</v>
      </c>
      <c r="H188">
        <v>3</v>
      </c>
      <c r="I188" t="s">
        <v>220</v>
      </c>
      <c r="J188" t="s">
        <v>3</v>
      </c>
      <c r="K188" t="s">
        <v>221</v>
      </c>
      <c r="L188">
        <v>1327</v>
      </c>
      <c r="N188">
        <v>1005</v>
      </c>
      <c r="O188" t="s">
        <v>61</v>
      </c>
      <c r="P188" t="s">
        <v>61</v>
      </c>
      <c r="Q188">
        <v>1</v>
      </c>
      <c r="W188">
        <v>0</v>
      </c>
      <c r="X188">
        <v>-112006704</v>
      </c>
      <c r="Y188">
        <v>103.7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6.13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3</v>
      </c>
      <c r="AT188">
        <v>103.7</v>
      </c>
      <c r="AU188" t="s">
        <v>3</v>
      </c>
      <c r="AV188">
        <v>0</v>
      </c>
      <c r="AW188">
        <v>2</v>
      </c>
      <c r="AX188">
        <v>39477936</v>
      </c>
      <c r="AY188">
        <v>1</v>
      </c>
      <c r="AZ188">
        <v>0</v>
      </c>
      <c r="BA188">
        <v>177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Y188*Source!I77</f>
        <v>39.405999999999999</v>
      </c>
      <c r="CY188">
        <f t="shared" ref="CY188:CY194" si="24">AA188</f>
        <v>0</v>
      </c>
      <c r="CZ188">
        <f t="shared" ref="CZ188:CZ194" si="25">AE188</f>
        <v>0</v>
      </c>
      <c r="DA188">
        <f t="shared" ref="DA188:DA194" si="26">AI188</f>
        <v>6.13</v>
      </c>
      <c r="DB188">
        <v>0</v>
      </c>
    </row>
    <row r="189" spans="1:106" x14ac:dyDescent="0.2">
      <c r="A189">
        <f>ROW(Source!A77)</f>
        <v>77</v>
      </c>
      <c r="B189">
        <v>39476960</v>
      </c>
      <c r="C189">
        <v>39477931</v>
      </c>
      <c r="D189">
        <v>36804545</v>
      </c>
      <c r="E189">
        <v>1</v>
      </c>
      <c r="F189">
        <v>1</v>
      </c>
      <c r="G189">
        <v>1</v>
      </c>
      <c r="H189">
        <v>3</v>
      </c>
      <c r="I189" t="s">
        <v>846</v>
      </c>
      <c r="J189" t="s">
        <v>847</v>
      </c>
      <c r="K189" t="s">
        <v>848</v>
      </c>
      <c r="L189">
        <v>1348</v>
      </c>
      <c r="N189">
        <v>1009</v>
      </c>
      <c r="O189" t="s">
        <v>34</v>
      </c>
      <c r="P189" t="s">
        <v>34</v>
      </c>
      <c r="Q189">
        <v>1000</v>
      </c>
      <c r="W189">
        <v>0</v>
      </c>
      <c r="X189">
        <v>1174701286</v>
      </c>
      <c r="Y189">
        <v>5.7000000000000002E-3</v>
      </c>
      <c r="AA189">
        <v>73425.14</v>
      </c>
      <c r="AB189">
        <v>0</v>
      </c>
      <c r="AC189">
        <v>0</v>
      </c>
      <c r="AD189">
        <v>0</v>
      </c>
      <c r="AE189">
        <v>11978</v>
      </c>
      <c r="AF189">
        <v>0</v>
      </c>
      <c r="AG189">
        <v>0</v>
      </c>
      <c r="AH189">
        <v>0</v>
      </c>
      <c r="AI189">
        <v>6.13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5.7000000000000002E-3</v>
      </c>
      <c r="AU189" t="s">
        <v>3</v>
      </c>
      <c r="AV189">
        <v>0</v>
      </c>
      <c r="AW189">
        <v>2</v>
      </c>
      <c r="AX189">
        <v>39477937</v>
      </c>
      <c r="AY189">
        <v>1</v>
      </c>
      <c r="AZ189">
        <v>0</v>
      </c>
      <c r="BA189">
        <v>178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Y189*Source!I77</f>
        <v>2.166E-3</v>
      </c>
      <c r="CY189">
        <f t="shared" si="24"/>
        <v>73425.14</v>
      </c>
      <c r="CZ189">
        <f t="shared" si="25"/>
        <v>11978</v>
      </c>
      <c r="DA189">
        <f t="shared" si="26"/>
        <v>6.13</v>
      </c>
      <c r="DB189">
        <v>0</v>
      </c>
    </row>
    <row r="190" spans="1:106" x14ac:dyDescent="0.2">
      <c r="A190">
        <f>ROW(Source!A77)</f>
        <v>77</v>
      </c>
      <c r="B190">
        <v>39476960</v>
      </c>
      <c r="C190">
        <v>39477931</v>
      </c>
      <c r="D190">
        <v>36804953</v>
      </c>
      <c r="E190">
        <v>1</v>
      </c>
      <c r="F190">
        <v>1</v>
      </c>
      <c r="G190">
        <v>1</v>
      </c>
      <c r="H190">
        <v>3</v>
      </c>
      <c r="I190" t="s">
        <v>1020</v>
      </c>
      <c r="J190" t="s">
        <v>1021</v>
      </c>
      <c r="K190" t="s">
        <v>1022</v>
      </c>
      <c r="L190">
        <v>1348</v>
      </c>
      <c r="N190">
        <v>1009</v>
      </c>
      <c r="O190" t="s">
        <v>34</v>
      </c>
      <c r="P190" t="s">
        <v>34</v>
      </c>
      <c r="Q190">
        <v>1000</v>
      </c>
      <c r="W190">
        <v>0</v>
      </c>
      <c r="X190">
        <v>-34039275</v>
      </c>
      <c r="Y190">
        <v>1.9E-3</v>
      </c>
      <c r="AA190">
        <v>69575.5</v>
      </c>
      <c r="AB190">
        <v>0</v>
      </c>
      <c r="AC190">
        <v>0</v>
      </c>
      <c r="AD190">
        <v>0</v>
      </c>
      <c r="AE190">
        <v>11350</v>
      </c>
      <c r="AF190">
        <v>0</v>
      </c>
      <c r="AG190">
        <v>0</v>
      </c>
      <c r="AH190">
        <v>0</v>
      </c>
      <c r="AI190">
        <v>6.13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1.9E-3</v>
      </c>
      <c r="AU190" t="s">
        <v>3</v>
      </c>
      <c r="AV190">
        <v>0</v>
      </c>
      <c r="AW190">
        <v>2</v>
      </c>
      <c r="AX190">
        <v>39477938</v>
      </c>
      <c r="AY190">
        <v>1</v>
      </c>
      <c r="AZ190">
        <v>0</v>
      </c>
      <c r="BA190">
        <v>179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Y190*Source!I77</f>
        <v>7.2199999999999999E-4</v>
      </c>
      <c r="CY190">
        <f t="shared" si="24"/>
        <v>69575.5</v>
      </c>
      <c r="CZ190">
        <f t="shared" si="25"/>
        <v>11350</v>
      </c>
      <c r="DA190">
        <f t="shared" si="26"/>
        <v>6.13</v>
      </c>
      <c r="DB190">
        <v>0</v>
      </c>
    </row>
    <row r="191" spans="1:106" x14ac:dyDescent="0.2">
      <c r="A191">
        <f>ROW(Source!A77)</f>
        <v>77</v>
      </c>
      <c r="B191">
        <v>39476960</v>
      </c>
      <c r="C191">
        <v>39477931</v>
      </c>
      <c r="D191">
        <v>36830004</v>
      </c>
      <c r="E191">
        <v>1</v>
      </c>
      <c r="F191">
        <v>1</v>
      </c>
      <c r="G191">
        <v>1</v>
      </c>
      <c r="H191">
        <v>3</v>
      </c>
      <c r="I191" t="s">
        <v>1032</v>
      </c>
      <c r="J191" t="s">
        <v>1033</v>
      </c>
      <c r="K191" t="s">
        <v>1034</v>
      </c>
      <c r="L191">
        <v>1301</v>
      </c>
      <c r="N191">
        <v>1003</v>
      </c>
      <c r="O191" t="s">
        <v>74</v>
      </c>
      <c r="P191" t="s">
        <v>74</v>
      </c>
      <c r="Q191">
        <v>1</v>
      </c>
      <c r="W191">
        <v>0</v>
      </c>
      <c r="X191">
        <v>876590585</v>
      </c>
      <c r="Y191">
        <v>243</v>
      </c>
      <c r="AA191">
        <v>19.489999999999998</v>
      </c>
      <c r="AB191">
        <v>0</v>
      </c>
      <c r="AC191">
        <v>0</v>
      </c>
      <c r="AD191">
        <v>0</v>
      </c>
      <c r="AE191">
        <v>3.18</v>
      </c>
      <c r="AF191">
        <v>0</v>
      </c>
      <c r="AG191">
        <v>0</v>
      </c>
      <c r="AH191">
        <v>0</v>
      </c>
      <c r="AI191">
        <v>6.13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243</v>
      </c>
      <c r="AU191" t="s">
        <v>3</v>
      </c>
      <c r="AV191">
        <v>0</v>
      </c>
      <c r="AW191">
        <v>2</v>
      </c>
      <c r="AX191">
        <v>39477939</v>
      </c>
      <c r="AY191">
        <v>1</v>
      </c>
      <c r="AZ191">
        <v>0</v>
      </c>
      <c r="BA191">
        <v>180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Y191*Source!I77</f>
        <v>92.34</v>
      </c>
      <c r="CY191">
        <f t="shared" si="24"/>
        <v>19.489999999999998</v>
      </c>
      <c r="CZ191">
        <f t="shared" si="25"/>
        <v>3.18</v>
      </c>
      <c r="DA191">
        <f t="shared" si="26"/>
        <v>6.13</v>
      </c>
      <c r="DB191">
        <v>0</v>
      </c>
    </row>
    <row r="192" spans="1:106" x14ac:dyDescent="0.2">
      <c r="A192">
        <f>ROW(Source!A77)</f>
        <v>77</v>
      </c>
      <c r="B192">
        <v>39476960</v>
      </c>
      <c r="C192">
        <v>39477931</v>
      </c>
      <c r="D192">
        <v>36830316</v>
      </c>
      <c r="E192">
        <v>1</v>
      </c>
      <c r="F192">
        <v>1</v>
      </c>
      <c r="G192">
        <v>1</v>
      </c>
      <c r="H192">
        <v>3</v>
      </c>
      <c r="I192" t="s">
        <v>1026</v>
      </c>
      <c r="J192" t="s">
        <v>1027</v>
      </c>
      <c r="K192" t="s">
        <v>1028</v>
      </c>
      <c r="L192">
        <v>1339</v>
      </c>
      <c r="N192">
        <v>1007</v>
      </c>
      <c r="O192" t="s">
        <v>25</v>
      </c>
      <c r="P192" t="s">
        <v>25</v>
      </c>
      <c r="Q192">
        <v>1</v>
      </c>
      <c r="W192">
        <v>0</v>
      </c>
      <c r="X192">
        <v>1443343806</v>
      </c>
      <c r="Y192">
        <v>6.0000000000000001E-3</v>
      </c>
      <c r="AA192">
        <v>6473.28</v>
      </c>
      <c r="AB192">
        <v>0</v>
      </c>
      <c r="AC192">
        <v>0</v>
      </c>
      <c r="AD192">
        <v>0</v>
      </c>
      <c r="AE192">
        <v>1056</v>
      </c>
      <c r="AF192">
        <v>0</v>
      </c>
      <c r="AG192">
        <v>0</v>
      </c>
      <c r="AH192">
        <v>0</v>
      </c>
      <c r="AI192">
        <v>6.13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6.0000000000000001E-3</v>
      </c>
      <c r="AU192" t="s">
        <v>3</v>
      </c>
      <c r="AV192">
        <v>0</v>
      </c>
      <c r="AW192">
        <v>2</v>
      </c>
      <c r="AX192">
        <v>39477940</v>
      </c>
      <c r="AY192">
        <v>1</v>
      </c>
      <c r="AZ192">
        <v>0</v>
      </c>
      <c r="BA192">
        <v>181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Y192*Source!I77</f>
        <v>2.2799999999999999E-3</v>
      </c>
      <c r="CY192">
        <f t="shared" si="24"/>
        <v>6473.28</v>
      </c>
      <c r="CZ192">
        <f t="shared" si="25"/>
        <v>1056</v>
      </c>
      <c r="DA192">
        <f t="shared" si="26"/>
        <v>6.13</v>
      </c>
      <c r="DB192">
        <v>0</v>
      </c>
    </row>
    <row r="193" spans="1:106" x14ac:dyDescent="0.2">
      <c r="A193">
        <f>ROW(Source!A77)</f>
        <v>77</v>
      </c>
      <c r="B193">
        <v>39476960</v>
      </c>
      <c r="C193">
        <v>39477931</v>
      </c>
      <c r="D193">
        <v>36832159</v>
      </c>
      <c r="E193">
        <v>1</v>
      </c>
      <c r="F193">
        <v>1</v>
      </c>
      <c r="G193">
        <v>1</v>
      </c>
      <c r="H193">
        <v>3</v>
      </c>
      <c r="I193" t="s">
        <v>199</v>
      </c>
      <c r="J193" t="s">
        <v>201</v>
      </c>
      <c r="K193" t="s">
        <v>200</v>
      </c>
      <c r="L193">
        <v>1327</v>
      </c>
      <c r="N193">
        <v>1005</v>
      </c>
      <c r="O193" t="s">
        <v>61</v>
      </c>
      <c r="P193" t="s">
        <v>61</v>
      </c>
      <c r="Q193">
        <v>1</v>
      </c>
      <c r="W193">
        <v>0</v>
      </c>
      <c r="X193">
        <v>238179070</v>
      </c>
      <c r="Y193">
        <v>103.7</v>
      </c>
      <c r="AA193">
        <v>380.55</v>
      </c>
      <c r="AB193">
        <v>0</v>
      </c>
      <c r="AC193">
        <v>0</v>
      </c>
      <c r="AD193">
        <v>0</v>
      </c>
      <c r="AE193">
        <v>62.08</v>
      </c>
      <c r="AF193">
        <v>0</v>
      </c>
      <c r="AG193">
        <v>0</v>
      </c>
      <c r="AH193">
        <v>0</v>
      </c>
      <c r="AI193">
        <v>6.13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103.7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Y193*Source!I77</f>
        <v>39.405999999999999</v>
      </c>
      <c r="CY193">
        <f t="shared" si="24"/>
        <v>380.55</v>
      </c>
      <c r="CZ193">
        <f t="shared" si="25"/>
        <v>62.08</v>
      </c>
      <c r="DA193">
        <f t="shared" si="26"/>
        <v>6.13</v>
      </c>
      <c r="DB193">
        <v>0</v>
      </c>
    </row>
    <row r="194" spans="1:106" x14ac:dyDescent="0.2">
      <c r="A194">
        <f>ROW(Source!A77)</f>
        <v>77</v>
      </c>
      <c r="B194">
        <v>39476960</v>
      </c>
      <c r="C194">
        <v>39477931</v>
      </c>
      <c r="D194">
        <v>36838972</v>
      </c>
      <c r="E194">
        <v>1</v>
      </c>
      <c r="F194">
        <v>1</v>
      </c>
      <c r="G194">
        <v>1</v>
      </c>
      <c r="H194">
        <v>3</v>
      </c>
      <c r="I194" t="s">
        <v>1029</v>
      </c>
      <c r="J194" t="s">
        <v>1030</v>
      </c>
      <c r="K194" t="s">
        <v>1031</v>
      </c>
      <c r="L194">
        <v>1348</v>
      </c>
      <c r="N194">
        <v>1009</v>
      </c>
      <c r="O194" t="s">
        <v>34</v>
      </c>
      <c r="P194" t="s">
        <v>34</v>
      </c>
      <c r="Q194">
        <v>1000</v>
      </c>
      <c r="W194">
        <v>0</v>
      </c>
      <c r="X194">
        <v>1254963396</v>
      </c>
      <c r="Y194">
        <v>7.9399999999999991E-3</v>
      </c>
      <c r="AA194">
        <v>93513.15</v>
      </c>
      <c r="AB194">
        <v>0</v>
      </c>
      <c r="AC194">
        <v>0</v>
      </c>
      <c r="AD194">
        <v>0</v>
      </c>
      <c r="AE194">
        <v>15255</v>
      </c>
      <c r="AF194">
        <v>0</v>
      </c>
      <c r="AG194">
        <v>0</v>
      </c>
      <c r="AH194">
        <v>0</v>
      </c>
      <c r="AI194">
        <v>6.13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7.9399999999999991E-3</v>
      </c>
      <c r="AU194" t="s">
        <v>3</v>
      </c>
      <c r="AV194">
        <v>0</v>
      </c>
      <c r="AW194">
        <v>2</v>
      </c>
      <c r="AX194">
        <v>39477942</v>
      </c>
      <c r="AY194">
        <v>1</v>
      </c>
      <c r="AZ194">
        <v>0</v>
      </c>
      <c r="BA194">
        <v>183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Y194*Source!I77</f>
        <v>3.0171999999999998E-3</v>
      </c>
      <c r="CY194">
        <f t="shared" si="24"/>
        <v>93513.15</v>
      </c>
      <c r="CZ194">
        <f t="shared" si="25"/>
        <v>15255</v>
      </c>
      <c r="DA194">
        <f t="shared" si="26"/>
        <v>6.13</v>
      </c>
      <c r="DB194">
        <v>0</v>
      </c>
    </row>
    <row r="195" spans="1:106" x14ac:dyDescent="0.2">
      <c r="A195">
        <f>ROW(Source!A80)</f>
        <v>80</v>
      </c>
      <c r="B195">
        <v>39476960</v>
      </c>
      <c r="C195">
        <v>39477974</v>
      </c>
      <c r="D195">
        <v>37069580</v>
      </c>
      <c r="E195">
        <v>1</v>
      </c>
      <c r="F195">
        <v>1</v>
      </c>
      <c r="G195">
        <v>1</v>
      </c>
      <c r="H195">
        <v>1</v>
      </c>
      <c r="I195" t="s">
        <v>1035</v>
      </c>
      <c r="J195" t="s">
        <v>3</v>
      </c>
      <c r="K195" t="s">
        <v>1036</v>
      </c>
      <c r="L195">
        <v>1191</v>
      </c>
      <c r="N195">
        <v>1013</v>
      </c>
      <c r="O195" t="s">
        <v>796</v>
      </c>
      <c r="P195" t="s">
        <v>796</v>
      </c>
      <c r="Q195">
        <v>1</v>
      </c>
      <c r="W195">
        <v>0</v>
      </c>
      <c r="X195">
        <v>1010519658</v>
      </c>
      <c r="Y195">
        <v>36.25</v>
      </c>
      <c r="AA195">
        <v>0</v>
      </c>
      <c r="AB195">
        <v>0</v>
      </c>
      <c r="AC195">
        <v>0</v>
      </c>
      <c r="AD195">
        <v>52.96</v>
      </c>
      <c r="AE195">
        <v>0</v>
      </c>
      <c r="AF195">
        <v>0</v>
      </c>
      <c r="AG195">
        <v>0</v>
      </c>
      <c r="AH195">
        <v>8.64</v>
      </c>
      <c r="AI195">
        <v>1</v>
      </c>
      <c r="AJ195">
        <v>1</v>
      </c>
      <c r="AK195">
        <v>1</v>
      </c>
      <c r="AL195">
        <v>6.13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36.25</v>
      </c>
      <c r="AU195" t="s">
        <v>3</v>
      </c>
      <c r="AV195">
        <v>1</v>
      </c>
      <c r="AW195">
        <v>2</v>
      </c>
      <c r="AX195">
        <v>39477975</v>
      </c>
      <c r="AY195">
        <v>1</v>
      </c>
      <c r="AZ195">
        <v>0</v>
      </c>
      <c r="BA195">
        <v>184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Y195*Source!I80</f>
        <v>5.6550000000000002</v>
      </c>
      <c r="CY195">
        <f>AD195</f>
        <v>52.96</v>
      </c>
      <c r="CZ195">
        <f>AH195</f>
        <v>8.64</v>
      </c>
      <c r="DA195">
        <f>AL195</f>
        <v>6.13</v>
      </c>
      <c r="DB195">
        <v>0</v>
      </c>
    </row>
    <row r="196" spans="1:106" x14ac:dyDescent="0.2">
      <c r="A196">
        <f>ROW(Source!A80)</f>
        <v>80</v>
      </c>
      <c r="B196">
        <v>39476960</v>
      </c>
      <c r="C196">
        <v>39477974</v>
      </c>
      <c r="D196">
        <v>37064876</v>
      </c>
      <c r="E196">
        <v>1</v>
      </c>
      <c r="F196">
        <v>1</v>
      </c>
      <c r="G196">
        <v>1</v>
      </c>
      <c r="H196">
        <v>1</v>
      </c>
      <c r="I196" t="s">
        <v>797</v>
      </c>
      <c r="J196" t="s">
        <v>3</v>
      </c>
      <c r="K196" t="s">
        <v>798</v>
      </c>
      <c r="L196">
        <v>1191</v>
      </c>
      <c r="N196">
        <v>1013</v>
      </c>
      <c r="O196" t="s">
        <v>796</v>
      </c>
      <c r="P196" t="s">
        <v>796</v>
      </c>
      <c r="Q196">
        <v>1</v>
      </c>
      <c r="W196">
        <v>0</v>
      </c>
      <c r="X196">
        <v>-1417349443</v>
      </c>
      <c r="Y196">
        <v>0.16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6.13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0.16</v>
      </c>
      <c r="AU196" t="s">
        <v>3</v>
      </c>
      <c r="AV196">
        <v>2</v>
      </c>
      <c r="AW196">
        <v>2</v>
      </c>
      <c r="AX196">
        <v>39477976</v>
      </c>
      <c r="AY196">
        <v>1</v>
      </c>
      <c r="AZ196">
        <v>0</v>
      </c>
      <c r="BA196">
        <v>185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Y196*Source!I80</f>
        <v>2.496E-2</v>
      </c>
      <c r="CY196">
        <f>AD196</f>
        <v>0</v>
      </c>
      <c r="CZ196">
        <f>AH196</f>
        <v>0</v>
      </c>
      <c r="DA196">
        <f>AL196</f>
        <v>1</v>
      </c>
      <c r="DB196">
        <v>0</v>
      </c>
    </row>
    <row r="197" spans="1:106" x14ac:dyDescent="0.2">
      <c r="A197">
        <f>ROW(Source!A80)</f>
        <v>80</v>
      </c>
      <c r="B197">
        <v>39476960</v>
      </c>
      <c r="C197">
        <v>39477974</v>
      </c>
      <c r="D197">
        <v>36882452</v>
      </c>
      <c r="E197">
        <v>1</v>
      </c>
      <c r="F197">
        <v>1</v>
      </c>
      <c r="G197">
        <v>1</v>
      </c>
      <c r="H197">
        <v>2</v>
      </c>
      <c r="I197" t="s">
        <v>799</v>
      </c>
      <c r="J197" t="s">
        <v>800</v>
      </c>
      <c r="K197" t="s">
        <v>801</v>
      </c>
      <c r="L197">
        <v>1368</v>
      </c>
      <c r="N197">
        <v>1011</v>
      </c>
      <c r="O197" t="s">
        <v>802</v>
      </c>
      <c r="P197" t="s">
        <v>802</v>
      </c>
      <c r="Q197">
        <v>1</v>
      </c>
      <c r="W197">
        <v>0</v>
      </c>
      <c r="X197">
        <v>1188625873</v>
      </c>
      <c r="Y197">
        <v>0.1</v>
      </c>
      <c r="AA197">
        <v>0</v>
      </c>
      <c r="AB197">
        <v>191.62</v>
      </c>
      <c r="AC197">
        <v>13.5</v>
      </c>
      <c r="AD197">
        <v>0</v>
      </c>
      <c r="AE197">
        <v>0</v>
      </c>
      <c r="AF197">
        <v>31.26</v>
      </c>
      <c r="AG197">
        <v>13.5</v>
      </c>
      <c r="AH197">
        <v>0</v>
      </c>
      <c r="AI197">
        <v>1</v>
      </c>
      <c r="AJ197">
        <v>6.13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0.1</v>
      </c>
      <c r="AU197" t="s">
        <v>3</v>
      </c>
      <c r="AV197">
        <v>0</v>
      </c>
      <c r="AW197">
        <v>2</v>
      </c>
      <c r="AX197">
        <v>39477977</v>
      </c>
      <c r="AY197">
        <v>1</v>
      </c>
      <c r="AZ197">
        <v>0</v>
      </c>
      <c r="BA197">
        <v>186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Y197*Source!I80</f>
        <v>1.5600000000000001E-2</v>
      </c>
      <c r="CY197">
        <f>AB197</f>
        <v>191.62</v>
      </c>
      <c r="CZ197">
        <f>AF197</f>
        <v>31.26</v>
      </c>
      <c r="DA197">
        <f>AJ197</f>
        <v>6.13</v>
      </c>
      <c r="DB197">
        <v>0</v>
      </c>
    </row>
    <row r="198" spans="1:106" x14ac:dyDescent="0.2">
      <c r="A198">
        <f>ROW(Source!A80)</f>
        <v>80</v>
      </c>
      <c r="B198">
        <v>39476960</v>
      </c>
      <c r="C198">
        <v>39477974</v>
      </c>
      <c r="D198">
        <v>36883554</v>
      </c>
      <c r="E198">
        <v>1</v>
      </c>
      <c r="F198">
        <v>1</v>
      </c>
      <c r="G198">
        <v>1</v>
      </c>
      <c r="H198">
        <v>2</v>
      </c>
      <c r="I198" t="s">
        <v>834</v>
      </c>
      <c r="J198" t="s">
        <v>835</v>
      </c>
      <c r="K198" t="s">
        <v>836</v>
      </c>
      <c r="L198">
        <v>1368</v>
      </c>
      <c r="N198">
        <v>1011</v>
      </c>
      <c r="O198" t="s">
        <v>802</v>
      </c>
      <c r="P198" t="s">
        <v>802</v>
      </c>
      <c r="Q198">
        <v>1</v>
      </c>
      <c r="W198">
        <v>0</v>
      </c>
      <c r="X198">
        <v>1372534845</v>
      </c>
      <c r="Y198">
        <v>0.06</v>
      </c>
      <c r="AA198">
        <v>0</v>
      </c>
      <c r="AB198">
        <v>402.8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6.13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0.06</v>
      </c>
      <c r="AU198" t="s">
        <v>3</v>
      </c>
      <c r="AV198">
        <v>0</v>
      </c>
      <c r="AW198">
        <v>2</v>
      </c>
      <c r="AX198">
        <v>39477978</v>
      </c>
      <c r="AY198">
        <v>1</v>
      </c>
      <c r="AZ198">
        <v>0</v>
      </c>
      <c r="BA198">
        <v>187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Y198*Source!I80</f>
        <v>9.3600000000000003E-3</v>
      </c>
      <c r="CY198">
        <f>AB198</f>
        <v>402.8</v>
      </c>
      <c r="CZ198">
        <f>AF198</f>
        <v>65.709999999999994</v>
      </c>
      <c r="DA198">
        <f>AJ198</f>
        <v>6.13</v>
      </c>
      <c r="DB198">
        <v>0</v>
      </c>
    </row>
    <row r="199" spans="1:106" x14ac:dyDescent="0.2">
      <c r="A199">
        <f>ROW(Source!A80)</f>
        <v>80</v>
      </c>
      <c r="B199">
        <v>39476960</v>
      </c>
      <c r="C199">
        <v>39477974</v>
      </c>
      <c r="D199">
        <v>36801792</v>
      </c>
      <c r="E199">
        <v>1</v>
      </c>
      <c r="F199">
        <v>1</v>
      </c>
      <c r="G199">
        <v>1</v>
      </c>
      <c r="H199">
        <v>3</v>
      </c>
      <c r="I199" t="s">
        <v>954</v>
      </c>
      <c r="J199" t="s">
        <v>955</v>
      </c>
      <c r="K199" t="s">
        <v>956</v>
      </c>
      <c r="L199">
        <v>1339</v>
      </c>
      <c r="N199">
        <v>1007</v>
      </c>
      <c r="O199" t="s">
        <v>25</v>
      </c>
      <c r="P199" t="s">
        <v>25</v>
      </c>
      <c r="Q199">
        <v>1</v>
      </c>
      <c r="W199">
        <v>0</v>
      </c>
      <c r="X199">
        <v>-1660354250</v>
      </c>
      <c r="Y199">
        <v>0.24</v>
      </c>
      <c r="AA199">
        <v>14.96</v>
      </c>
      <c r="AB199">
        <v>0</v>
      </c>
      <c r="AC199">
        <v>0</v>
      </c>
      <c r="AD199">
        <v>0</v>
      </c>
      <c r="AE199">
        <v>2.44</v>
      </c>
      <c r="AF199">
        <v>0</v>
      </c>
      <c r="AG199">
        <v>0</v>
      </c>
      <c r="AH199">
        <v>0</v>
      </c>
      <c r="AI199">
        <v>6.13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0.24</v>
      </c>
      <c r="AU199" t="s">
        <v>3</v>
      </c>
      <c r="AV199">
        <v>0</v>
      </c>
      <c r="AW199">
        <v>2</v>
      </c>
      <c r="AX199">
        <v>39477979</v>
      </c>
      <c r="AY199">
        <v>1</v>
      </c>
      <c r="AZ199">
        <v>0</v>
      </c>
      <c r="BA199">
        <v>188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Y199*Source!I80</f>
        <v>3.7440000000000001E-2</v>
      </c>
      <c r="CY199">
        <f t="shared" ref="CY199:CY207" si="27">AA199</f>
        <v>14.96</v>
      </c>
      <c r="CZ199">
        <f t="shared" ref="CZ199:CZ207" si="28">AE199</f>
        <v>2.44</v>
      </c>
      <c r="DA199">
        <f t="shared" ref="DA199:DA207" si="29">AI199</f>
        <v>6.13</v>
      </c>
      <c r="DB199">
        <v>0</v>
      </c>
    </row>
    <row r="200" spans="1:106" x14ac:dyDescent="0.2">
      <c r="A200">
        <f>ROW(Source!A80)</f>
        <v>80</v>
      </c>
      <c r="B200">
        <v>39476960</v>
      </c>
      <c r="C200">
        <v>39477974</v>
      </c>
      <c r="D200">
        <v>36802272</v>
      </c>
      <c r="E200">
        <v>1</v>
      </c>
      <c r="F200">
        <v>1</v>
      </c>
      <c r="G200">
        <v>1</v>
      </c>
      <c r="H200">
        <v>3</v>
      </c>
      <c r="I200" t="s">
        <v>1037</v>
      </c>
      <c r="J200" t="s">
        <v>1038</v>
      </c>
      <c r="K200" t="s">
        <v>1039</v>
      </c>
      <c r="L200">
        <v>1354</v>
      </c>
      <c r="N200">
        <v>1010</v>
      </c>
      <c r="O200" t="s">
        <v>415</v>
      </c>
      <c r="P200" t="s">
        <v>415</v>
      </c>
      <c r="Q200">
        <v>1</v>
      </c>
      <c r="W200">
        <v>0</v>
      </c>
      <c r="X200">
        <v>-1046673864</v>
      </c>
      <c r="Y200">
        <v>3.2</v>
      </c>
      <c r="AA200">
        <v>27.59</v>
      </c>
      <c r="AB200">
        <v>0</v>
      </c>
      <c r="AC200">
        <v>0</v>
      </c>
      <c r="AD200">
        <v>0</v>
      </c>
      <c r="AE200">
        <v>4.5</v>
      </c>
      <c r="AF200">
        <v>0</v>
      </c>
      <c r="AG200">
        <v>0</v>
      </c>
      <c r="AH200">
        <v>0</v>
      </c>
      <c r="AI200">
        <v>6.13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3.2</v>
      </c>
      <c r="AU200" t="s">
        <v>3</v>
      </c>
      <c r="AV200">
        <v>0</v>
      </c>
      <c r="AW200">
        <v>2</v>
      </c>
      <c r="AX200">
        <v>39477980</v>
      </c>
      <c r="AY200">
        <v>1</v>
      </c>
      <c r="AZ200">
        <v>0</v>
      </c>
      <c r="BA200">
        <v>189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Y200*Source!I80</f>
        <v>0.49920000000000003</v>
      </c>
      <c r="CY200">
        <f t="shared" si="27"/>
        <v>27.59</v>
      </c>
      <c r="CZ200">
        <f t="shared" si="28"/>
        <v>4.5</v>
      </c>
      <c r="DA200">
        <f t="shared" si="29"/>
        <v>6.13</v>
      </c>
      <c r="DB200">
        <v>0</v>
      </c>
    </row>
    <row r="201" spans="1:106" x14ac:dyDescent="0.2">
      <c r="A201">
        <f>ROW(Source!A80)</f>
        <v>80</v>
      </c>
      <c r="B201">
        <v>39476960</v>
      </c>
      <c r="C201">
        <v>39477974</v>
      </c>
      <c r="D201">
        <v>36802521</v>
      </c>
      <c r="E201">
        <v>1</v>
      </c>
      <c r="F201">
        <v>1</v>
      </c>
      <c r="G201">
        <v>1</v>
      </c>
      <c r="H201">
        <v>3</v>
      </c>
      <c r="I201" t="s">
        <v>1040</v>
      </c>
      <c r="J201" t="s">
        <v>1041</v>
      </c>
      <c r="K201" t="s">
        <v>1042</v>
      </c>
      <c r="L201">
        <v>1348</v>
      </c>
      <c r="N201">
        <v>1009</v>
      </c>
      <c r="O201" t="s">
        <v>34</v>
      </c>
      <c r="P201" t="s">
        <v>34</v>
      </c>
      <c r="Q201">
        <v>1000</v>
      </c>
      <c r="W201">
        <v>0</v>
      </c>
      <c r="X201">
        <v>-526970962</v>
      </c>
      <c r="Y201">
        <v>1.2E-2</v>
      </c>
      <c r="AA201">
        <v>3595.06</v>
      </c>
      <c r="AB201">
        <v>0</v>
      </c>
      <c r="AC201">
        <v>0</v>
      </c>
      <c r="AD201">
        <v>0</v>
      </c>
      <c r="AE201">
        <v>586.47</v>
      </c>
      <c r="AF201">
        <v>0</v>
      </c>
      <c r="AG201">
        <v>0</v>
      </c>
      <c r="AH201">
        <v>0</v>
      </c>
      <c r="AI201">
        <v>6.13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1.2E-2</v>
      </c>
      <c r="AU201" t="s">
        <v>3</v>
      </c>
      <c r="AV201">
        <v>0</v>
      </c>
      <c r="AW201">
        <v>2</v>
      </c>
      <c r="AX201">
        <v>39477981</v>
      </c>
      <c r="AY201">
        <v>1</v>
      </c>
      <c r="AZ201">
        <v>0</v>
      </c>
      <c r="BA201">
        <v>190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Y201*Source!I80</f>
        <v>1.872E-3</v>
      </c>
      <c r="CY201">
        <f t="shared" si="27"/>
        <v>3595.06</v>
      </c>
      <c r="CZ201">
        <f t="shared" si="28"/>
        <v>586.47</v>
      </c>
      <c r="DA201">
        <f t="shared" si="29"/>
        <v>6.13</v>
      </c>
      <c r="DB201">
        <v>0</v>
      </c>
    </row>
    <row r="202" spans="1:106" x14ac:dyDescent="0.2">
      <c r="A202">
        <f>ROW(Source!A80)</f>
        <v>80</v>
      </c>
      <c r="B202">
        <v>39476960</v>
      </c>
      <c r="C202">
        <v>39477974</v>
      </c>
      <c r="D202">
        <v>36805188</v>
      </c>
      <c r="E202">
        <v>1</v>
      </c>
      <c r="F202">
        <v>1</v>
      </c>
      <c r="G202">
        <v>1</v>
      </c>
      <c r="H202">
        <v>3</v>
      </c>
      <c r="I202" t="s">
        <v>1023</v>
      </c>
      <c r="J202" t="s">
        <v>1024</v>
      </c>
      <c r="K202" t="s">
        <v>1025</v>
      </c>
      <c r="L202">
        <v>1327</v>
      </c>
      <c r="N202">
        <v>1005</v>
      </c>
      <c r="O202" t="s">
        <v>61</v>
      </c>
      <c r="P202" t="s">
        <v>61</v>
      </c>
      <c r="Q202">
        <v>1</v>
      </c>
      <c r="W202">
        <v>0</v>
      </c>
      <c r="X202">
        <v>-1987926685</v>
      </c>
      <c r="Y202">
        <v>1.6</v>
      </c>
      <c r="AA202">
        <v>443.32</v>
      </c>
      <c r="AB202">
        <v>0</v>
      </c>
      <c r="AC202">
        <v>0</v>
      </c>
      <c r="AD202">
        <v>0</v>
      </c>
      <c r="AE202">
        <v>72.319999999999993</v>
      </c>
      <c r="AF202">
        <v>0</v>
      </c>
      <c r="AG202">
        <v>0</v>
      </c>
      <c r="AH202">
        <v>0</v>
      </c>
      <c r="AI202">
        <v>6.13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1.6</v>
      </c>
      <c r="AU202" t="s">
        <v>3</v>
      </c>
      <c r="AV202">
        <v>0</v>
      </c>
      <c r="AW202">
        <v>2</v>
      </c>
      <c r="AX202">
        <v>39477982</v>
      </c>
      <c r="AY202">
        <v>1</v>
      </c>
      <c r="AZ202">
        <v>0</v>
      </c>
      <c r="BA202">
        <v>191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Y202*Source!I80</f>
        <v>0.24960000000000002</v>
      </c>
      <c r="CY202">
        <f t="shared" si="27"/>
        <v>443.32</v>
      </c>
      <c r="CZ202">
        <f t="shared" si="28"/>
        <v>72.319999999999993</v>
      </c>
      <c r="DA202">
        <f t="shared" si="29"/>
        <v>6.13</v>
      </c>
      <c r="DB202">
        <v>0</v>
      </c>
    </row>
    <row r="203" spans="1:106" x14ac:dyDescent="0.2">
      <c r="A203">
        <f>ROW(Source!A80)</f>
        <v>80</v>
      </c>
      <c r="B203">
        <v>39476960</v>
      </c>
      <c r="C203">
        <v>39477974</v>
      </c>
      <c r="D203">
        <v>36806413</v>
      </c>
      <c r="E203">
        <v>1</v>
      </c>
      <c r="F203">
        <v>1</v>
      </c>
      <c r="G203">
        <v>1</v>
      </c>
      <c r="H203">
        <v>3</v>
      </c>
      <c r="I203" t="s">
        <v>1043</v>
      </c>
      <c r="J203" t="s">
        <v>1044</v>
      </c>
      <c r="K203" t="s">
        <v>1045</v>
      </c>
      <c r="L203">
        <v>1339</v>
      </c>
      <c r="N203">
        <v>1007</v>
      </c>
      <c r="O203" t="s">
        <v>25</v>
      </c>
      <c r="P203" t="s">
        <v>25</v>
      </c>
      <c r="Q203">
        <v>1</v>
      </c>
      <c r="W203">
        <v>0</v>
      </c>
      <c r="X203">
        <v>1795918813</v>
      </c>
      <c r="Y203">
        <v>4.4000000000000003E-3</v>
      </c>
      <c r="AA203">
        <v>457.18</v>
      </c>
      <c r="AB203">
        <v>0</v>
      </c>
      <c r="AC203">
        <v>0</v>
      </c>
      <c r="AD203">
        <v>0</v>
      </c>
      <c r="AE203">
        <v>74.58</v>
      </c>
      <c r="AF203">
        <v>0</v>
      </c>
      <c r="AG203">
        <v>0</v>
      </c>
      <c r="AH203">
        <v>0</v>
      </c>
      <c r="AI203">
        <v>6.13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4.4000000000000003E-3</v>
      </c>
      <c r="AU203" t="s">
        <v>3</v>
      </c>
      <c r="AV203">
        <v>0</v>
      </c>
      <c r="AW203">
        <v>2</v>
      </c>
      <c r="AX203">
        <v>39477983</v>
      </c>
      <c r="AY203">
        <v>1</v>
      </c>
      <c r="AZ203">
        <v>0</v>
      </c>
      <c r="BA203">
        <v>192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Y203*Source!I80</f>
        <v>6.8639999999999999E-4</v>
      </c>
      <c r="CY203">
        <f t="shared" si="27"/>
        <v>457.18</v>
      </c>
      <c r="CZ203">
        <f t="shared" si="28"/>
        <v>74.58</v>
      </c>
      <c r="DA203">
        <f t="shared" si="29"/>
        <v>6.13</v>
      </c>
      <c r="DB203">
        <v>0</v>
      </c>
    </row>
    <row r="204" spans="1:106" x14ac:dyDescent="0.2">
      <c r="A204">
        <f>ROW(Source!A80)</f>
        <v>80</v>
      </c>
      <c r="B204">
        <v>39476960</v>
      </c>
      <c r="C204">
        <v>39477974</v>
      </c>
      <c r="D204">
        <v>36836983</v>
      </c>
      <c r="E204">
        <v>1</v>
      </c>
      <c r="F204">
        <v>1</v>
      </c>
      <c r="G204">
        <v>1</v>
      </c>
      <c r="H204">
        <v>3</v>
      </c>
      <c r="I204" t="s">
        <v>940</v>
      </c>
      <c r="J204" t="s">
        <v>941</v>
      </c>
      <c r="K204" t="s">
        <v>942</v>
      </c>
      <c r="L204">
        <v>1346</v>
      </c>
      <c r="N204">
        <v>1009</v>
      </c>
      <c r="O204" t="s">
        <v>217</v>
      </c>
      <c r="P204" t="s">
        <v>217</v>
      </c>
      <c r="Q204">
        <v>1</v>
      </c>
      <c r="W204">
        <v>0</v>
      </c>
      <c r="X204">
        <v>-1684093315</v>
      </c>
      <c r="Y204">
        <v>2.4300000000000002</v>
      </c>
      <c r="AA204">
        <v>49.59</v>
      </c>
      <c r="AB204">
        <v>0</v>
      </c>
      <c r="AC204">
        <v>0</v>
      </c>
      <c r="AD204">
        <v>0</v>
      </c>
      <c r="AE204">
        <v>8.09</v>
      </c>
      <c r="AF204">
        <v>0</v>
      </c>
      <c r="AG204">
        <v>0</v>
      </c>
      <c r="AH204">
        <v>0</v>
      </c>
      <c r="AI204">
        <v>6.13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2.4300000000000002</v>
      </c>
      <c r="AU204" t="s">
        <v>3</v>
      </c>
      <c r="AV204">
        <v>0</v>
      </c>
      <c r="AW204">
        <v>2</v>
      </c>
      <c r="AX204">
        <v>39477984</v>
      </c>
      <c r="AY204">
        <v>1</v>
      </c>
      <c r="AZ204">
        <v>0</v>
      </c>
      <c r="BA204">
        <v>193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Y204*Source!I80</f>
        <v>0.37908000000000003</v>
      </c>
      <c r="CY204">
        <f t="shared" si="27"/>
        <v>49.59</v>
      </c>
      <c r="CZ204">
        <f t="shared" si="28"/>
        <v>8.09</v>
      </c>
      <c r="DA204">
        <f t="shared" si="29"/>
        <v>6.13</v>
      </c>
      <c r="DB204">
        <v>0</v>
      </c>
    </row>
    <row r="205" spans="1:106" x14ac:dyDescent="0.2">
      <c r="A205">
        <f>ROW(Source!A80)</f>
        <v>80</v>
      </c>
      <c r="B205">
        <v>39476960</v>
      </c>
      <c r="C205">
        <v>39477974</v>
      </c>
      <c r="D205">
        <v>36797561</v>
      </c>
      <c r="E205">
        <v>17</v>
      </c>
      <c r="F205">
        <v>1</v>
      </c>
      <c r="G205">
        <v>1</v>
      </c>
      <c r="H205">
        <v>3</v>
      </c>
      <c r="I205" t="s">
        <v>248</v>
      </c>
      <c r="J205" t="s">
        <v>3</v>
      </c>
      <c r="K205" t="s">
        <v>249</v>
      </c>
      <c r="L205">
        <v>1348</v>
      </c>
      <c r="N205">
        <v>1009</v>
      </c>
      <c r="O205" t="s">
        <v>34</v>
      </c>
      <c r="P205" t="s">
        <v>34</v>
      </c>
      <c r="Q205">
        <v>1000</v>
      </c>
      <c r="W205">
        <v>0</v>
      </c>
      <c r="X205">
        <v>1891904026</v>
      </c>
      <c r="Y205">
        <v>6.7000000000000004E-2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6.13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3</v>
      </c>
      <c r="AT205">
        <v>6.7000000000000004E-2</v>
      </c>
      <c r="AU205" t="s">
        <v>3</v>
      </c>
      <c r="AV205">
        <v>0</v>
      </c>
      <c r="AW205">
        <v>2</v>
      </c>
      <c r="AX205">
        <v>39477985</v>
      </c>
      <c r="AY205">
        <v>1</v>
      </c>
      <c r="AZ205">
        <v>0</v>
      </c>
      <c r="BA205">
        <v>194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Y205*Source!I80</f>
        <v>1.0452000000000001E-2</v>
      </c>
      <c r="CY205">
        <f t="shared" si="27"/>
        <v>0</v>
      </c>
      <c r="CZ205">
        <f t="shared" si="28"/>
        <v>0</v>
      </c>
      <c r="DA205">
        <f t="shared" si="29"/>
        <v>6.13</v>
      </c>
      <c r="DB205">
        <v>0</v>
      </c>
    </row>
    <row r="206" spans="1:106" x14ac:dyDescent="0.2">
      <c r="A206">
        <f>ROW(Source!A80)</f>
        <v>80</v>
      </c>
      <c r="B206">
        <v>39476960</v>
      </c>
      <c r="C206">
        <v>39477974</v>
      </c>
      <c r="D206">
        <v>36837770</v>
      </c>
      <c r="E206">
        <v>1</v>
      </c>
      <c r="F206">
        <v>1</v>
      </c>
      <c r="G206">
        <v>1</v>
      </c>
      <c r="H206">
        <v>3</v>
      </c>
      <c r="I206" t="s">
        <v>244</v>
      </c>
      <c r="J206" t="s">
        <v>246</v>
      </c>
      <c r="K206" t="s">
        <v>245</v>
      </c>
      <c r="L206">
        <v>1348</v>
      </c>
      <c r="N206">
        <v>1009</v>
      </c>
      <c r="O206" t="s">
        <v>34</v>
      </c>
      <c r="P206" t="s">
        <v>34</v>
      </c>
      <c r="Q206">
        <v>1000</v>
      </c>
      <c r="W206">
        <v>0</v>
      </c>
      <c r="X206">
        <v>-138399381</v>
      </c>
      <c r="Y206">
        <v>6.7000000000000004E-2</v>
      </c>
      <c r="AA206">
        <v>26712.39</v>
      </c>
      <c r="AB206">
        <v>0</v>
      </c>
      <c r="AC206">
        <v>0</v>
      </c>
      <c r="AD206">
        <v>0</v>
      </c>
      <c r="AE206">
        <v>4357.6499999999996</v>
      </c>
      <c r="AF206">
        <v>0</v>
      </c>
      <c r="AG206">
        <v>0</v>
      </c>
      <c r="AH206">
        <v>0</v>
      </c>
      <c r="AI206">
        <v>6.13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3</v>
      </c>
      <c r="AT206">
        <v>6.7000000000000004E-2</v>
      </c>
      <c r="AU206" t="s">
        <v>3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Y206*Source!I80</f>
        <v>1.0452000000000001E-2</v>
      </c>
      <c r="CY206">
        <f t="shared" si="27"/>
        <v>26712.39</v>
      </c>
      <c r="CZ206">
        <f t="shared" si="28"/>
        <v>4357.6499999999996</v>
      </c>
      <c r="DA206">
        <f t="shared" si="29"/>
        <v>6.13</v>
      </c>
      <c r="DB206">
        <v>0</v>
      </c>
    </row>
    <row r="207" spans="1:106" x14ac:dyDescent="0.2">
      <c r="A207">
        <f>ROW(Source!A80)</f>
        <v>80</v>
      </c>
      <c r="B207">
        <v>39476960</v>
      </c>
      <c r="C207">
        <v>39477974</v>
      </c>
      <c r="D207">
        <v>36839212</v>
      </c>
      <c r="E207">
        <v>1</v>
      </c>
      <c r="F207">
        <v>1</v>
      </c>
      <c r="G207">
        <v>1</v>
      </c>
      <c r="H207">
        <v>3</v>
      </c>
      <c r="I207" t="s">
        <v>1046</v>
      </c>
      <c r="J207" t="s">
        <v>1047</v>
      </c>
      <c r="K207" t="s">
        <v>1048</v>
      </c>
      <c r="L207">
        <v>1348</v>
      </c>
      <c r="N207">
        <v>1009</v>
      </c>
      <c r="O207" t="s">
        <v>34</v>
      </c>
      <c r="P207" t="s">
        <v>34</v>
      </c>
      <c r="Q207">
        <v>1000</v>
      </c>
      <c r="W207">
        <v>0</v>
      </c>
      <c r="X207">
        <v>-2084827333</v>
      </c>
      <c r="Y207">
        <v>6.8000000000000005E-2</v>
      </c>
      <c r="AA207">
        <v>26322.22</v>
      </c>
      <c r="AB207">
        <v>0</v>
      </c>
      <c r="AC207">
        <v>0</v>
      </c>
      <c r="AD207">
        <v>0</v>
      </c>
      <c r="AE207">
        <v>4294</v>
      </c>
      <c r="AF207">
        <v>0</v>
      </c>
      <c r="AG207">
        <v>0</v>
      </c>
      <c r="AH207">
        <v>0</v>
      </c>
      <c r="AI207">
        <v>6.13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6.8000000000000005E-2</v>
      </c>
      <c r="AU207" t="s">
        <v>3</v>
      </c>
      <c r="AV207">
        <v>0</v>
      </c>
      <c r="AW207">
        <v>2</v>
      </c>
      <c r="AX207">
        <v>39477986</v>
      </c>
      <c r="AY207">
        <v>1</v>
      </c>
      <c r="AZ207">
        <v>0</v>
      </c>
      <c r="BA207">
        <v>195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Y207*Source!I80</f>
        <v>1.0608000000000001E-2</v>
      </c>
      <c r="CY207">
        <f t="shared" si="27"/>
        <v>26322.22</v>
      </c>
      <c r="CZ207">
        <f t="shared" si="28"/>
        <v>4294</v>
      </c>
      <c r="DA207">
        <f t="shared" si="29"/>
        <v>6.13</v>
      </c>
      <c r="DB207">
        <v>0</v>
      </c>
    </row>
    <row r="208" spans="1:106" x14ac:dyDescent="0.2">
      <c r="A208">
        <f>ROW(Source!A83)</f>
        <v>83</v>
      </c>
      <c r="B208">
        <v>39476960</v>
      </c>
      <c r="C208">
        <v>39477990</v>
      </c>
      <c r="D208">
        <v>37066837</v>
      </c>
      <c r="E208">
        <v>1</v>
      </c>
      <c r="F208">
        <v>1</v>
      </c>
      <c r="G208">
        <v>1</v>
      </c>
      <c r="H208">
        <v>1</v>
      </c>
      <c r="I208" t="s">
        <v>1049</v>
      </c>
      <c r="J208" t="s">
        <v>3</v>
      </c>
      <c r="K208" t="s">
        <v>1050</v>
      </c>
      <c r="L208">
        <v>1191</v>
      </c>
      <c r="N208">
        <v>1013</v>
      </c>
      <c r="O208" t="s">
        <v>796</v>
      </c>
      <c r="P208" t="s">
        <v>796</v>
      </c>
      <c r="Q208">
        <v>1</v>
      </c>
      <c r="W208">
        <v>0</v>
      </c>
      <c r="X208">
        <v>1850719656</v>
      </c>
      <c r="Y208">
        <v>7.1897999999999991</v>
      </c>
      <c r="AA208">
        <v>0</v>
      </c>
      <c r="AB208">
        <v>0</v>
      </c>
      <c r="AC208">
        <v>0</v>
      </c>
      <c r="AD208">
        <v>50.94</v>
      </c>
      <c r="AE208">
        <v>0</v>
      </c>
      <c r="AF208">
        <v>0</v>
      </c>
      <c r="AG208">
        <v>0</v>
      </c>
      <c r="AH208">
        <v>8.31</v>
      </c>
      <c r="AI208">
        <v>1</v>
      </c>
      <c r="AJ208">
        <v>1</v>
      </c>
      <c r="AK208">
        <v>1</v>
      </c>
      <c r="AL208">
        <v>6.13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5.21</v>
      </c>
      <c r="AU208" t="s">
        <v>54</v>
      </c>
      <c r="AV208">
        <v>1</v>
      </c>
      <c r="AW208">
        <v>2</v>
      </c>
      <c r="AX208">
        <v>39477991</v>
      </c>
      <c r="AY208">
        <v>1</v>
      </c>
      <c r="AZ208">
        <v>0</v>
      </c>
      <c r="BA208">
        <v>196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Y208*Source!I83</f>
        <v>18.693479999999997</v>
      </c>
      <c r="CY208">
        <f>AD208</f>
        <v>50.94</v>
      </c>
      <c r="CZ208">
        <f>AH208</f>
        <v>8.31</v>
      </c>
      <c r="DA208">
        <f>AL208</f>
        <v>6.13</v>
      </c>
      <c r="DB208">
        <v>0</v>
      </c>
    </row>
    <row r="209" spans="1:106" x14ac:dyDescent="0.2">
      <c r="A209">
        <f>ROW(Source!A83)</f>
        <v>83</v>
      </c>
      <c r="B209">
        <v>39476960</v>
      </c>
      <c r="C209">
        <v>39477990</v>
      </c>
      <c r="D209">
        <v>37064876</v>
      </c>
      <c r="E209">
        <v>1</v>
      </c>
      <c r="F209">
        <v>1</v>
      </c>
      <c r="G209">
        <v>1</v>
      </c>
      <c r="H209">
        <v>1</v>
      </c>
      <c r="I209" t="s">
        <v>797</v>
      </c>
      <c r="J209" t="s">
        <v>3</v>
      </c>
      <c r="K209" t="s">
        <v>798</v>
      </c>
      <c r="L209">
        <v>1191</v>
      </c>
      <c r="N209">
        <v>1013</v>
      </c>
      <c r="O209" t="s">
        <v>796</v>
      </c>
      <c r="P209" t="s">
        <v>796</v>
      </c>
      <c r="Q209">
        <v>1</v>
      </c>
      <c r="W209">
        <v>0</v>
      </c>
      <c r="X209">
        <v>-1417349443</v>
      </c>
      <c r="Y209">
        <v>0.4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6.13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0.4</v>
      </c>
      <c r="AU209" t="s">
        <v>3</v>
      </c>
      <c r="AV209">
        <v>2</v>
      </c>
      <c r="AW209">
        <v>2</v>
      </c>
      <c r="AX209">
        <v>39477992</v>
      </c>
      <c r="AY209">
        <v>1</v>
      </c>
      <c r="AZ209">
        <v>2048</v>
      </c>
      <c r="BA209">
        <v>197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Y209*Source!I83</f>
        <v>1.04</v>
      </c>
      <c r="CY209">
        <f>AD209</f>
        <v>0</v>
      </c>
      <c r="CZ209">
        <f>AH209</f>
        <v>0</v>
      </c>
      <c r="DA209">
        <f>AL209</f>
        <v>1</v>
      </c>
      <c r="DB209">
        <v>0</v>
      </c>
    </row>
    <row r="210" spans="1:106" x14ac:dyDescent="0.2">
      <c r="A210">
        <f>ROW(Source!A83)</f>
        <v>83</v>
      </c>
      <c r="B210">
        <v>39476960</v>
      </c>
      <c r="C210">
        <v>39477990</v>
      </c>
      <c r="D210">
        <v>36882057</v>
      </c>
      <c r="E210">
        <v>1</v>
      </c>
      <c r="F210">
        <v>1</v>
      </c>
      <c r="G210">
        <v>1</v>
      </c>
      <c r="H210">
        <v>2</v>
      </c>
      <c r="I210" t="s">
        <v>897</v>
      </c>
      <c r="J210" t="s">
        <v>898</v>
      </c>
      <c r="K210" t="s">
        <v>899</v>
      </c>
      <c r="L210">
        <v>1368</v>
      </c>
      <c r="N210">
        <v>1011</v>
      </c>
      <c r="O210" t="s">
        <v>802</v>
      </c>
      <c r="P210" t="s">
        <v>802</v>
      </c>
      <c r="Q210">
        <v>1</v>
      </c>
      <c r="W210">
        <v>0</v>
      </c>
      <c r="X210">
        <v>-1460065968</v>
      </c>
      <c r="Y210">
        <v>0.6</v>
      </c>
      <c r="AA210">
        <v>0</v>
      </c>
      <c r="AB210">
        <v>529.63</v>
      </c>
      <c r="AC210">
        <v>13.5</v>
      </c>
      <c r="AD210">
        <v>0</v>
      </c>
      <c r="AE210">
        <v>0</v>
      </c>
      <c r="AF210">
        <v>86.4</v>
      </c>
      <c r="AG210">
        <v>13.5</v>
      </c>
      <c r="AH210">
        <v>0</v>
      </c>
      <c r="AI210">
        <v>1</v>
      </c>
      <c r="AJ210">
        <v>6.13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0.4</v>
      </c>
      <c r="AU210" t="s">
        <v>53</v>
      </c>
      <c r="AV210">
        <v>0</v>
      </c>
      <c r="AW210">
        <v>2</v>
      </c>
      <c r="AX210">
        <v>39477993</v>
      </c>
      <c r="AY210">
        <v>1</v>
      </c>
      <c r="AZ210">
        <v>0</v>
      </c>
      <c r="BA210">
        <v>198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Y210*Source!I83</f>
        <v>1.56</v>
      </c>
      <c r="CY210">
        <f>AB210</f>
        <v>529.63</v>
      </c>
      <c r="CZ210">
        <f>AF210</f>
        <v>86.4</v>
      </c>
      <c r="DA210">
        <f>AJ210</f>
        <v>6.13</v>
      </c>
      <c r="DB210">
        <v>0</v>
      </c>
    </row>
    <row r="211" spans="1:106" x14ac:dyDescent="0.2">
      <c r="A211">
        <f>ROW(Source!A83)</f>
        <v>83</v>
      </c>
      <c r="B211">
        <v>39476960</v>
      </c>
      <c r="C211">
        <v>39477990</v>
      </c>
      <c r="D211">
        <v>36801792</v>
      </c>
      <c r="E211">
        <v>1</v>
      </c>
      <c r="F211">
        <v>1</v>
      </c>
      <c r="G211">
        <v>1</v>
      </c>
      <c r="H211">
        <v>3</v>
      </c>
      <c r="I211" t="s">
        <v>954</v>
      </c>
      <c r="J211" t="s">
        <v>955</v>
      </c>
      <c r="K211" t="s">
        <v>956</v>
      </c>
      <c r="L211">
        <v>1339</v>
      </c>
      <c r="N211">
        <v>1007</v>
      </c>
      <c r="O211" t="s">
        <v>25</v>
      </c>
      <c r="P211" t="s">
        <v>25</v>
      </c>
      <c r="Q211">
        <v>1</v>
      </c>
      <c r="W211">
        <v>0</v>
      </c>
      <c r="X211">
        <v>-1660354250</v>
      </c>
      <c r="Y211">
        <v>0.44</v>
      </c>
      <c r="AA211">
        <v>14.96</v>
      </c>
      <c r="AB211">
        <v>0</v>
      </c>
      <c r="AC211">
        <v>0</v>
      </c>
      <c r="AD211">
        <v>0</v>
      </c>
      <c r="AE211">
        <v>2.44</v>
      </c>
      <c r="AF211">
        <v>0</v>
      </c>
      <c r="AG211">
        <v>0</v>
      </c>
      <c r="AH211">
        <v>0</v>
      </c>
      <c r="AI211">
        <v>6.13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0.44</v>
      </c>
      <c r="AU211" t="s">
        <v>3</v>
      </c>
      <c r="AV211">
        <v>0</v>
      </c>
      <c r="AW211">
        <v>2</v>
      </c>
      <c r="AX211">
        <v>39477994</v>
      </c>
      <c r="AY211">
        <v>1</v>
      </c>
      <c r="AZ211">
        <v>0</v>
      </c>
      <c r="BA211">
        <v>199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Y211*Source!I83</f>
        <v>1.1440000000000001</v>
      </c>
      <c r="CY211">
        <f>AA211</f>
        <v>14.96</v>
      </c>
      <c r="CZ211">
        <f>AE211</f>
        <v>2.44</v>
      </c>
      <c r="DA211">
        <f>AI211</f>
        <v>6.13</v>
      </c>
      <c r="DB211">
        <v>0</v>
      </c>
    </row>
    <row r="212" spans="1:106" x14ac:dyDescent="0.2">
      <c r="A212">
        <f>ROW(Source!A83)</f>
        <v>83</v>
      </c>
      <c r="B212">
        <v>39476960</v>
      </c>
      <c r="C212">
        <v>39477990</v>
      </c>
      <c r="D212">
        <v>36807374</v>
      </c>
      <c r="E212">
        <v>1</v>
      </c>
      <c r="F212">
        <v>1</v>
      </c>
      <c r="G212">
        <v>1</v>
      </c>
      <c r="H212">
        <v>3</v>
      </c>
      <c r="I212" t="s">
        <v>1051</v>
      </c>
      <c r="J212" t="s">
        <v>1052</v>
      </c>
      <c r="K212" t="s">
        <v>1053</v>
      </c>
      <c r="L212">
        <v>1339</v>
      </c>
      <c r="N212">
        <v>1007</v>
      </c>
      <c r="O212" t="s">
        <v>25</v>
      </c>
      <c r="P212" t="s">
        <v>25</v>
      </c>
      <c r="Q212">
        <v>1</v>
      </c>
      <c r="W212">
        <v>0</v>
      </c>
      <c r="X212">
        <v>-861814431</v>
      </c>
      <c r="Y212">
        <v>0.23400000000000001</v>
      </c>
      <c r="AA212">
        <v>3186.37</v>
      </c>
      <c r="AB212">
        <v>0</v>
      </c>
      <c r="AC212">
        <v>0</v>
      </c>
      <c r="AD212">
        <v>0</v>
      </c>
      <c r="AE212">
        <v>519.79999999999995</v>
      </c>
      <c r="AF212">
        <v>0</v>
      </c>
      <c r="AG212">
        <v>0</v>
      </c>
      <c r="AH212">
        <v>0</v>
      </c>
      <c r="AI212">
        <v>6.13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0.23400000000000001</v>
      </c>
      <c r="AU212" t="s">
        <v>3</v>
      </c>
      <c r="AV212">
        <v>0</v>
      </c>
      <c r="AW212">
        <v>2</v>
      </c>
      <c r="AX212">
        <v>39477995</v>
      </c>
      <c r="AY212">
        <v>1</v>
      </c>
      <c r="AZ212">
        <v>0</v>
      </c>
      <c r="BA212">
        <v>200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Y212*Source!I83</f>
        <v>0.60840000000000005</v>
      </c>
      <c r="CY212">
        <f>AA212</f>
        <v>3186.37</v>
      </c>
      <c r="CZ212">
        <f>AE212</f>
        <v>519.79999999999995</v>
      </c>
      <c r="DA212">
        <f>AI212</f>
        <v>6.13</v>
      </c>
      <c r="DB212">
        <v>0</v>
      </c>
    </row>
    <row r="213" spans="1:106" x14ac:dyDescent="0.2">
      <c r="A213">
        <f>ROW(Source!A83)</f>
        <v>83</v>
      </c>
      <c r="B213">
        <v>39476960</v>
      </c>
      <c r="C213">
        <v>39477990</v>
      </c>
      <c r="D213">
        <v>36821301</v>
      </c>
      <c r="E213">
        <v>1</v>
      </c>
      <c r="F213">
        <v>1</v>
      </c>
      <c r="G213">
        <v>1</v>
      </c>
      <c r="H213">
        <v>3</v>
      </c>
      <c r="I213" t="s">
        <v>257</v>
      </c>
      <c r="J213" t="s">
        <v>260</v>
      </c>
      <c r="K213" t="s">
        <v>258</v>
      </c>
      <c r="L213">
        <v>1356</v>
      </c>
      <c r="N213">
        <v>1010</v>
      </c>
      <c r="O213" t="s">
        <v>259</v>
      </c>
      <c r="P213" t="s">
        <v>259</v>
      </c>
      <c r="Q213">
        <v>1000</v>
      </c>
      <c r="W213">
        <v>0</v>
      </c>
      <c r="X213">
        <v>1329584455</v>
      </c>
      <c r="Y213">
        <v>0.39500000000000002</v>
      </c>
      <c r="AA213">
        <v>13645.99</v>
      </c>
      <c r="AB213">
        <v>0</v>
      </c>
      <c r="AC213">
        <v>0</v>
      </c>
      <c r="AD213">
        <v>0</v>
      </c>
      <c r="AE213">
        <v>2226.1</v>
      </c>
      <c r="AF213">
        <v>0</v>
      </c>
      <c r="AG213">
        <v>0</v>
      </c>
      <c r="AH213">
        <v>0</v>
      </c>
      <c r="AI213">
        <v>6.13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3</v>
      </c>
      <c r="AT213">
        <v>0.39500000000000002</v>
      </c>
      <c r="AU213" t="s">
        <v>3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Y213*Source!I83</f>
        <v>1.0270000000000001</v>
      </c>
      <c r="CY213">
        <f>AA213</f>
        <v>13645.99</v>
      </c>
      <c r="CZ213">
        <f>AE213</f>
        <v>2226.1</v>
      </c>
      <c r="DA213">
        <f>AI213</f>
        <v>6.13</v>
      </c>
      <c r="DB213">
        <v>0</v>
      </c>
    </row>
    <row r="214" spans="1:106" x14ac:dyDescent="0.2">
      <c r="A214">
        <f>ROW(Source!A83)</f>
        <v>83</v>
      </c>
      <c r="B214">
        <v>39476960</v>
      </c>
      <c r="C214">
        <v>39477990</v>
      </c>
      <c r="D214">
        <v>36796734</v>
      </c>
      <c r="E214">
        <v>17</v>
      </c>
      <c r="F214">
        <v>1</v>
      </c>
      <c r="G214">
        <v>1</v>
      </c>
      <c r="H214">
        <v>3</v>
      </c>
      <c r="I214" t="s">
        <v>262</v>
      </c>
      <c r="J214" t="s">
        <v>3</v>
      </c>
      <c r="K214" t="s">
        <v>263</v>
      </c>
      <c r="L214">
        <v>1356</v>
      </c>
      <c r="N214">
        <v>1010</v>
      </c>
      <c r="O214" t="s">
        <v>259</v>
      </c>
      <c r="P214" t="s">
        <v>259</v>
      </c>
      <c r="Q214">
        <v>1000</v>
      </c>
      <c r="W214">
        <v>0</v>
      </c>
      <c r="X214">
        <v>-1480842532</v>
      </c>
      <c r="Y214">
        <v>0.39500000000000002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6.13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3</v>
      </c>
      <c r="AT214">
        <v>0.39500000000000002</v>
      </c>
      <c r="AU214" t="s">
        <v>3</v>
      </c>
      <c r="AV214">
        <v>0</v>
      </c>
      <c r="AW214">
        <v>2</v>
      </c>
      <c r="AX214">
        <v>39477996</v>
      </c>
      <c r="AY214">
        <v>1</v>
      </c>
      <c r="AZ214">
        <v>0</v>
      </c>
      <c r="BA214">
        <v>201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Y214*Source!I83</f>
        <v>1.0270000000000001</v>
      </c>
      <c r="CY214">
        <f>AA214</f>
        <v>0</v>
      </c>
      <c r="CZ214">
        <f>AE214</f>
        <v>0</v>
      </c>
      <c r="DA214">
        <f>AI214</f>
        <v>6.13</v>
      </c>
      <c r="DB214">
        <v>0</v>
      </c>
    </row>
    <row r="215" spans="1:106" x14ac:dyDescent="0.2">
      <c r="A215">
        <f>ROW(Source!A83)</f>
        <v>83</v>
      </c>
      <c r="B215">
        <v>39476960</v>
      </c>
      <c r="C215">
        <v>39477990</v>
      </c>
      <c r="D215">
        <v>36830316</v>
      </c>
      <c r="E215">
        <v>1</v>
      </c>
      <c r="F215">
        <v>1</v>
      </c>
      <c r="G215">
        <v>1</v>
      </c>
      <c r="H215">
        <v>3</v>
      </c>
      <c r="I215" t="s">
        <v>1026</v>
      </c>
      <c r="J215" t="s">
        <v>1027</v>
      </c>
      <c r="K215" t="s">
        <v>1028</v>
      </c>
      <c r="L215">
        <v>1339</v>
      </c>
      <c r="N215">
        <v>1007</v>
      </c>
      <c r="O215" t="s">
        <v>25</v>
      </c>
      <c r="P215" t="s">
        <v>25</v>
      </c>
      <c r="Q215">
        <v>1</v>
      </c>
      <c r="W215">
        <v>0</v>
      </c>
      <c r="X215">
        <v>1443343806</v>
      </c>
      <c r="Y215">
        <v>5.0000000000000001E-4</v>
      </c>
      <c r="AA215">
        <v>6473.28</v>
      </c>
      <c r="AB215">
        <v>0</v>
      </c>
      <c r="AC215">
        <v>0</v>
      </c>
      <c r="AD215">
        <v>0</v>
      </c>
      <c r="AE215">
        <v>1056</v>
      </c>
      <c r="AF215">
        <v>0</v>
      </c>
      <c r="AG215">
        <v>0</v>
      </c>
      <c r="AH215">
        <v>0</v>
      </c>
      <c r="AI215">
        <v>6.13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5.0000000000000001E-4</v>
      </c>
      <c r="AU215" t="s">
        <v>3</v>
      </c>
      <c r="AV215">
        <v>0</v>
      </c>
      <c r="AW215">
        <v>2</v>
      </c>
      <c r="AX215">
        <v>39477997</v>
      </c>
      <c r="AY215">
        <v>1</v>
      </c>
      <c r="AZ215">
        <v>0</v>
      </c>
      <c r="BA215">
        <v>202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Y215*Source!I83</f>
        <v>1.3000000000000002E-3</v>
      </c>
      <c r="CY215">
        <f>AA215</f>
        <v>6473.28</v>
      </c>
      <c r="CZ215">
        <f>AE215</f>
        <v>1056</v>
      </c>
      <c r="DA215">
        <f>AI215</f>
        <v>6.13</v>
      </c>
      <c r="DB215">
        <v>0</v>
      </c>
    </row>
    <row r="216" spans="1:106" x14ac:dyDescent="0.2">
      <c r="A216">
        <f>ROW(Source!A86)</f>
        <v>86</v>
      </c>
      <c r="B216">
        <v>39476960</v>
      </c>
      <c r="C216">
        <v>39477999</v>
      </c>
      <c r="D216">
        <v>37064928</v>
      </c>
      <c r="E216">
        <v>1</v>
      </c>
      <c r="F216">
        <v>1</v>
      </c>
      <c r="G216">
        <v>1</v>
      </c>
      <c r="H216">
        <v>1</v>
      </c>
      <c r="I216" t="s">
        <v>911</v>
      </c>
      <c r="J216" t="s">
        <v>3</v>
      </c>
      <c r="K216" t="s">
        <v>912</v>
      </c>
      <c r="L216">
        <v>1191</v>
      </c>
      <c r="N216">
        <v>1013</v>
      </c>
      <c r="O216" t="s">
        <v>796</v>
      </c>
      <c r="P216" t="s">
        <v>796</v>
      </c>
      <c r="Q216">
        <v>1</v>
      </c>
      <c r="W216">
        <v>0</v>
      </c>
      <c r="X216">
        <v>145020957</v>
      </c>
      <c r="Y216">
        <v>106.39799999999998</v>
      </c>
      <c r="AA216">
        <v>0</v>
      </c>
      <c r="AB216">
        <v>0</v>
      </c>
      <c r="AC216">
        <v>0</v>
      </c>
      <c r="AD216">
        <v>55.6</v>
      </c>
      <c r="AE216">
        <v>0</v>
      </c>
      <c r="AF216">
        <v>0</v>
      </c>
      <c r="AG216">
        <v>0</v>
      </c>
      <c r="AH216">
        <v>9.07</v>
      </c>
      <c r="AI216">
        <v>1</v>
      </c>
      <c r="AJ216">
        <v>1</v>
      </c>
      <c r="AK216">
        <v>1</v>
      </c>
      <c r="AL216">
        <v>6.13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77.099999999999994</v>
      </c>
      <c r="AU216" t="s">
        <v>54</v>
      </c>
      <c r="AV216">
        <v>1</v>
      </c>
      <c r="AW216">
        <v>2</v>
      </c>
      <c r="AX216">
        <v>39478000</v>
      </c>
      <c r="AY216">
        <v>1</v>
      </c>
      <c r="AZ216">
        <v>0</v>
      </c>
      <c r="BA216">
        <v>203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Y216*Source!I86</f>
        <v>28.727459999999997</v>
      </c>
      <c r="CY216">
        <f>AD216</f>
        <v>55.6</v>
      </c>
      <c r="CZ216">
        <f>AH216</f>
        <v>9.07</v>
      </c>
      <c r="DA216">
        <f>AL216</f>
        <v>6.13</v>
      </c>
      <c r="DB216">
        <v>0</v>
      </c>
    </row>
    <row r="217" spans="1:106" x14ac:dyDescent="0.2">
      <c r="A217">
        <f>ROW(Source!A86)</f>
        <v>86</v>
      </c>
      <c r="B217">
        <v>39476960</v>
      </c>
      <c r="C217">
        <v>39477999</v>
      </c>
      <c r="D217">
        <v>37064876</v>
      </c>
      <c r="E217">
        <v>1</v>
      </c>
      <c r="F217">
        <v>1</v>
      </c>
      <c r="G217">
        <v>1</v>
      </c>
      <c r="H217">
        <v>1</v>
      </c>
      <c r="I217" t="s">
        <v>797</v>
      </c>
      <c r="J217" t="s">
        <v>3</v>
      </c>
      <c r="K217" t="s">
        <v>798</v>
      </c>
      <c r="L217">
        <v>1191</v>
      </c>
      <c r="N217">
        <v>1013</v>
      </c>
      <c r="O217" t="s">
        <v>796</v>
      </c>
      <c r="P217" t="s">
        <v>796</v>
      </c>
      <c r="Q217">
        <v>1</v>
      </c>
      <c r="W217">
        <v>0</v>
      </c>
      <c r="X217">
        <v>-1417349443</v>
      </c>
      <c r="Y217">
        <v>0.44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6.13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0.44</v>
      </c>
      <c r="AU217" t="s">
        <v>3</v>
      </c>
      <c r="AV217">
        <v>2</v>
      </c>
      <c r="AW217">
        <v>2</v>
      </c>
      <c r="AX217">
        <v>39478001</v>
      </c>
      <c r="AY217">
        <v>1</v>
      </c>
      <c r="AZ217">
        <v>2048</v>
      </c>
      <c r="BA217">
        <v>204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Y217*Source!I86</f>
        <v>0.1188</v>
      </c>
      <c r="CY217">
        <f>AD217</f>
        <v>0</v>
      </c>
      <c r="CZ217">
        <f>AH217</f>
        <v>0</v>
      </c>
      <c r="DA217">
        <f>AL217</f>
        <v>1</v>
      </c>
      <c r="DB217">
        <v>0</v>
      </c>
    </row>
    <row r="218" spans="1:106" x14ac:dyDescent="0.2">
      <c r="A218">
        <f>ROW(Source!A86)</f>
        <v>86</v>
      </c>
      <c r="B218">
        <v>39476960</v>
      </c>
      <c r="C218">
        <v>39477999</v>
      </c>
      <c r="D218">
        <v>36882041</v>
      </c>
      <c r="E218">
        <v>1</v>
      </c>
      <c r="F218">
        <v>1</v>
      </c>
      <c r="G218">
        <v>1</v>
      </c>
      <c r="H218">
        <v>2</v>
      </c>
      <c r="I218" t="s">
        <v>1054</v>
      </c>
      <c r="J218" t="s">
        <v>1055</v>
      </c>
      <c r="K218" t="s">
        <v>1056</v>
      </c>
      <c r="L218">
        <v>1368</v>
      </c>
      <c r="N218">
        <v>1011</v>
      </c>
      <c r="O218" t="s">
        <v>802</v>
      </c>
      <c r="P218" t="s">
        <v>802</v>
      </c>
      <c r="Q218">
        <v>1</v>
      </c>
      <c r="W218">
        <v>0</v>
      </c>
      <c r="X218">
        <v>533973013</v>
      </c>
      <c r="Y218">
        <v>0.26999999999999996</v>
      </c>
      <c r="AA218">
        <v>0</v>
      </c>
      <c r="AB218">
        <v>4690.74</v>
      </c>
      <c r="AC218">
        <v>13.5</v>
      </c>
      <c r="AD218">
        <v>0</v>
      </c>
      <c r="AE218">
        <v>0</v>
      </c>
      <c r="AF218">
        <v>765.21</v>
      </c>
      <c r="AG218">
        <v>13.5</v>
      </c>
      <c r="AH218">
        <v>0</v>
      </c>
      <c r="AI218">
        <v>1</v>
      </c>
      <c r="AJ218">
        <v>6.13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0.18</v>
      </c>
      <c r="AU218" t="s">
        <v>53</v>
      </c>
      <c r="AV218">
        <v>0</v>
      </c>
      <c r="AW218">
        <v>2</v>
      </c>
      <c r="AX218">
        <v>39478002</v>
      </c>
      <c r="AY218">
        <v>1</v>
      </c>
      <c r="AZ218">
        <v>0</v>
      </c>
      <c r="BA218">
        <v>205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Y218*Source!I86</f>
        <v>7.2899999999999993E-2</v>
      </c>
      <c r="CY218">
        <f>AB218</f>
        <v>4690.74</v>
      </c>
      <c r="CZ218">
        <f>AF218</f>
        <v>765.21</v>
      </c>
      <c r="DA218">
        <f>AJ218</f>
        <v>6.13</v>
      </c>
      <c r="DB218">
        <v>0</v>
      </c>
    </row>
    <row r="219" spans="1:106" x14ac:dyDescent="0.2">
      <c r="A219">
        <f>ROW(Source!A86)</f>
        <v>86</v>
      </c>
      <c r="B219">
        <v>39476960</v>
      </c>
      <c r="C219">
        <v>39477999</v>
      </c>
      <c r="D219">
        <v>36883554</v>
      </c>
      <c r="E219">
        <v>1</v>
      </c>
      <c r="F219">
        <v>1</v>
      </c>
      <c r="G219">
        <v>1</v>
      </c>
      <c r="H219">
        <v>2</v>
      </c>
      <c r="I219" t="s">
        <v>834</v>
      </c>
      <c r="J219" t="s">
        <v>835</v>
      </c>
      <c r="K219" t="s">
        <v>836</v>
      </c>
      <c r="L219">
        <v>1368</v>
      </c>
      <c r="N219">
        <v>1011</v>
      </c>
      <c r="O219" t="s">
        <v>802</v>
      </c>
      <c r="P219" t="s">
        <v>802</v>
      </c>
      <c r="Q219">
        <v>1</v>
      </c>
      <c r="W219">
        <v>0</v>
      </c>
      <c r="X219">
        <v>1372534845</v>
      </c>
      <c r="Y219">
        <v>0.39</v>
      </c>
      <c r="AA219">
        <v>0</v>
      </c>
      <c r="AB219">
        <v>402.8</v>
      </c>
      <c r="AC219">
        <v>11.6</v>
      </c>
      <c r="AD219">
        <v>0</v>
      </c>
      <c r="AE219">
        <v>0</v>
      </c>
      <c r="AF219">
        <v>65.709999999999994</v>
      </c>
      <c r="AG219">
        <v>11.6</v>
      </c>
      <c r="AH219">
        <v>0</v>
      </c>
      <c r="AI219">
        <v>1</v>
      </c>
      <c r="AJ219">
        <v>6.13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0.26</v>
      </c>
      <c r="AU219" t="s">
        <v>53</v>
      </c>
      <c r="AV219">
        <v>0</v>
      </c>
      <c r="AW219">
        <v>2</v>
      </c>
      <c r="AX219">
        <v>39478003</v>
      </c>
      <c r="AY219">
        <v>1</v>
      </c>
      <c r="AZ219">
        <v>0</v>
      </c>
      <c r="BA219">
        <v>206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Y219*Source!I86</f>
        <v>0.1053</v>
      </c>
      <c r="CY219">
        <f>AB219</f>
        <v>402.8</v>
      </c>
      <c r="CZ219">
        <f>AF219</f>
        <v>65.709999999999994</v>
      </c>
      <c r="DA219">
        <f>AJ219</f>
        <v>6.13</v>
      </c>
      <c r="DB219">
        <v>0</v>
      </c>
    </row>
    <row r="220" spans="1:106" x14ac:dyDescent="0.2">
      <c r="A220">
        <f>ROW(Source!A86)</f>
        <v>86</v>
      </c>
      <c r="B220">
        <v>39476960</v>
      </c>
      <c r="C220">
        <v>39477999</v>
      </c>
      <c r="D220">
        <v>36826381</v>
      </c>
      <c r="E220">
        <v>1</v>
      </c>
      <c r="F220">
        <v>1</v>
      </c>
      <c r="G220">
        <v>1</v>
      </c>
      <c r="H220">
        <v>3</v>
      </c>
      <c r="I220" t="s">
        <v>269</v>
      </c>
      <c r="J220" t="s">
        <v>271</v>
      </c>
      <c r="K220" t="s">
        <v>270</v>
      </c>
      <c r="L220">
        <v>1348</v>
      </c>
      <c r="N220">
        <v>1009</v>
      </c>
      <c r="O220" t="s">
        <v>34</v>
      </c>
      <c r="P220" t="s">
        <v>34</v>
      </c>
      <c r="Q220">
        <v>1000</v>
      </c>
      <c r="W220">
        <v>0</v>
      </c>
      <c r="X220">
        <v>-224351802</v>
      </c>
      <c r="Y220">
        <v>1</v>
      </c>
      <c r="AA220">
        <v>41561.4</v>
      </c>
      <c r="AB220">
        <v>0</v>
      </c>
      <c r="AC220">
        <v>0</v>
      </c>
      <c r="AD220">
        <v>0</v>
      </c>
      <c r="AE220">
        <v>6780</v>
      </c>
      <c r="AF220">
        <v>0</v>
      </c>
      <c r="AG220">
        <v>0</v>
      </c>
      <c r="AH220">
        <v>0</v>
      </c>
      <c r="AI220">
        <v>6.13</v>
      </c>
      <c r="AJ220">
        <v>1</v>
      </c>
      <c r="AK220">
        <v>1</v>
      </c>
      <c r="AL220">
        <v>1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3</v>
      </c>
      <c r="AT220">
        <v>1</v>
      </c>
      <c r="AU220" t="s">
        <v>3</v>
      </c>
      <c r="AV220">
        <v>0</v>
      </c>
      <c r="AW220">
        <v>1</v>
      </c>
      <c r="AX220">
        <v>-1</v>
      </c>
      <c r="AY220">
        <v>0</v>
      </c>
      <c r="AZ220">
        <v>0</v>
      </c>
      <c r="BA220" t="s">
        <v>3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Y220*Source!I86</f>
        <v>0.27</v>
      </c>
      <c r="CY220">
        <f>AA220</f>
        <v>41561.4</v>
      </c>
      <c r="CZ220">
        <f>AE220</f>
        <v>6780</v>
      </c>
      <c r="DA220">
        <f>AI220</f>
        <v>6.13</v>
      </c>
      <c r="DB220">
        <v>0</v>
      </c>
    </row>
    <row r="221" spans="1:106" x14ac:dyDescent="0.2">
      <c r="A221">
        <f>ROW(Source!A88)</f>
        <v>88</v>
      </c>
      <c r="B221">
        <v>39476960</v>
      </c>
      <c r="C221">
        <v>39478015</v>
      </c>
      <c r="D221">
        <v>37065248</v>
      </c>
      <c r="E221">
        <v>1</v>
      </c>
      <c r="F221">
        <v>1</v>
      </c>
      <c r="G221">
        <v>1</v>
      </c>
      <c r="H221">
        <v>1</v>
      </c>
      <c r="I221" t="s">
        <v>895</v>
      </c>
      <c r="J221" t="s">
        <v>3</v>
      </c>
      <c r="K221" t="s">
        <v>896</v>
      </c>
      <c r="L221">
        <v>1191</v>
      </c>
      <c r="N221">
        <v>1013</v>
      </c>
      <c r="O221" t="s">
        <v>796</v>
      </c>
      <c r="P221" t="s">
        <v>796</v>
      </c>
      <c r="Q221">
        <v>1</v>
      </c>
      <c r="W221">
        <v>0</v>
      </c>
      <c r="X221">
        <v>-400197608</v>
      </c>
      <c r="Y221">
        <v>49.321199999999997</v>
      </c>
      <c r="AA221">
        <v>0</v>
      </c>
      <c r="AB221">
        <v>0</v>
      </c>
      <c r="AC221">
        <v>0</v>
      </c>
      <c r="AD221">
        <v>52.29</v>
      </c>
      <c r="AE221">
        <v>0</v>
      </c>
      <c r="AF221">
        <v>0</v>
      </c>
      <c r="AG221">
        <v>0</v>
      </c>
      <c r="AH221">
        <v>8.5299999999999994</v>
      </c>
      <c r="AI221">
        <v>1</v>
      </c>
      <c r="AJ221">
        <v>1</v>
      </c>
      <c r="AK221">
        <v>1</v>
      </c>
      <c r="AL221">
        <v>6.13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35.74</v>
      </c>
      <c r="AU221" t="s">
        <v>54</v>
      </c>
      <c r="AV221">
        <v>1</v>
      </c>
      <c r="AW221">
        <v>2</v>
      </c>
      <c r="AX221">
        <v>39478016</v>
      </c>
      <c r="AY221">
        <v>1</v>
      </c>
      <c r="AZ221">
        <v>0</v>
      </c>
      <c r="BA221">
        <v>208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Y221*Source!I88</f>
        <v>1.7262420000000001</v>
      </c>
      <c r="CY221">
        <f>AD221</f>
        <v>52.29</v>
      </c>
      <c r="CZ221">
        <f>AH221</f>
        <v>8.5299999999999994</v>
      </c>
      <c r="DA221">
        <f>AL221</f>
        <v>6.13</v>
      </c>
      <c r="DB221">
        <v>0</v>
      </c>
    </row>
    <row r="222" spans="1:106" x14ac:dyDescent="0.2">
      <c r="A222">
        <f>ROW(Source!A88)</f>
        <v>88</v>
      </c>
      <c r="B222">
        <v>39476960</v>
      </c>
      <c r="C222">
        <v>39478015</v>
      </c>
      <c r="D222">
        <v>37064876</v>
      </c>
      <c r="E222">
        <v>1</v>
      </c>
      <c r="F222">
        <v>1</v>
      </c>
      <c r="G222">
        <v>1</v>
      </c>
      <c r="H222">
        <v>1</v>
      </c>
      <c r="I222" t="s">
        <v>797</v>
      </c>
      <c r="J222" t="s">
        <v>3</v>
      </c>
      <c r="K222" t="s">
        <v>798</v>
      </c>
      <c r="L222">
        <v>1191</v>
      </c>
      <c r="N222">
        <v>1013</v>
      </c>
      <c r="O222" t="s">
        <v>796</v>
      </c>
      <c r="P222" t="s">
        <v>796</v>
      </c>
      <c r="Q222">
        <v>1</v>
      </c>
      <c r="W222">
        <v>0</v>
      </c>
      <c r="X222">
        <v>-1417349443</v>
      </c>
      <c r="Y222">
        <v>0.44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6.13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0.44</v>
      </c>
      <c r="AU222" t="s">
        <v>3</v>
      </c>
      <c r="AV222">
        <v>2</v>
      </c>
      <c r="AW222">
        <v>2</v>
      </c>
      <c r="AX222">
        <v>39478017</v>
      </c>
      <c r="AY222">
        <v>1</v>
      </c>
      <c r="AZ222">
        <v>2048</v>
      </c>
      <c r="BA222">
        <v>209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Y222*Source!I88</f>
        <v>1.5400000000000002E-2</v>
      </c>
      <c r="CY222">
        <f>AD222</f>
        <v>0</v>
      </c>
      <c r="CZ222">
        <f>AH222</f>
        <v>0</v>
      </c>
      <c r="DA222">
        <f>AL222</f>
        <v>1</v>
      </c>
      <c r="DB222">
        <v>0</v>
      </c>
    </row>
    <row r="223" spans="1:106" x14ac:dyDescent="0.2">
      <c r="A223">
        <f>ROW(Source!A88)</f>
        <v>88</v>
      </c>
      <c r="B223">
        <v>39476960</v>
      </c>
      <c r="C223">
        <v>39478015</v>
      </c>
      <c r="D223">
        <v>36882452</v>
      </c>
      <c r="E223">
        <v>1</v>
      </c>
      <c r="F223">
        <v>1</v>
      </c>
      <c r="G223">
        <v>1</v>
      </c>
      <c r="H223">
        <v>2</v>
      </c>
      <c r="I223" t="s">
        <v>799</v>
      </c>
      <c r="J223" t="s">
        <v>800</v>
      </c>
      <c r="K223" t="s">
        <v>801</v>
      </c>
      <c r="L223">
        <v>1368</v>
      </c>
      <c r="N223">
        <v>1011</v>
      </c>
      <c r="O223" t="s">
        <v>802</v>
      </c>
      <c r="P223" t="s">
        <v>802</v>
      </c>
      <c r="Q223">
        <v>1</v>
      </c>
      <c r="W223">
        <v>0</v>
      </c>
      <c r="X223">
        <v>1188625873</v>
      </c>
      <c r="Y223">
        <v>0.26999999999999996</v>
      </c>
      <c r="AA223">
        <v>0</v>
      </c>
      <c r="AB223">
        <v>191.62</v>
      </c>
      <c r="AC223">
        <v>13.5</v>
      </c>
      <c r="AD223">
        <v>0</v>
      </c>
      <c r="AE223">
        <v>0</v>
      </c>
      <c r="AF223">
        <v>31.26</v>
      </c>
      <c r="AG223">
        <v>13.5</v>
      </c>
      <c r="AH223">
        <v>0</v>
      </c>
      <c r="AI223">
        <v>1</v>
      </c>
      <c r="AJ223">
        <v>6.13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0.18</v>
      </c>
      <c r="AU223" t="s">
        <v>53</v>
      </c>
      <c r="AV223">
        <v>0</v>
      </c>
      <c r="AW223">
        <v>2</v>
      </c>
      <c r="AX223">
        <v>39478018</v>
      </c>
      <c r="AY223">
        <v>1</v>
      </c>
      <c r="AZ223">
        <v>0</v>
      </c>
      <c r="BA223">
        <v>210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Y223*Source!I88</f>
        <v>9.4500000000000001E-3</v>
      </c>
      <c r="CY223">
        <f>AB223</f>
        <v>191.62</v>
      </c>
      <c r="CZ223">
        <f>AF223</f>
        <v>31.26</v>
      </c>
      <c r="DA223">
        <f>AJ223</f>
        <v>6.13</v>
      </c>
      <c r="DB223">
        <v>0</v>
      </c>
    </row>
    <row r="224" spans="1:106" x14ac:dyDescent="0.2">
      <c r="A224">
        <f>ROW(Source!A88)</f>
        <v>88</v>
      </c>
      <c r="B224">
        <v>39476960</v>
      </c>
      <c r="C224">
        <v>39478015</v>
      </c>
      <c r="D224">
        <v>36883554</v>
      </c>
      <c r="E224">
        <v>1</v>
      </c>
      <c r="F224">
        <v>1</v>
      </c>
      <c r="G224">
        <v>1</v>
      </c>
      <c r="H224">
        <v>2</v>
      </c>
      <c r="I224" t="s">
        <v>834</v>
      </c>
      <c r="J224" t="s">
        <v>835</v>
      </c>
      <c r="K224" t="s">
        <v>836</v>
      </c>
      <c r="L224">
        <v>1368</v>
      </c>
      <c r="N224">
        <v>1011</v>
      </c>
      <c r="O224" t="s">
        <v>802</v>
      </c>
      <c r="P224" t="s">
        <v>802</v>
      </c>
      <c r="Q224">
        <v>1</v>
      </c>
      <c r="W224">
        <v>0</v>
      </c>
      <c r="X224">
        <v>1372534845</v>
      </c>
      <c r="Y224">
        <v>0.39</v>
      </c>
      <c r="AA224">
        <v>0</v>
      </c>
      <c r="AB224">
        <v>402.8</v>
      </c>
      <c r="AC224">
        <v>11.6</v>
      </c>
      <c r="AD224">
        <v>0</v>
      </c>
      <c r="AE224">
        <v>0</v>
      </c>
      <c r="AF224">
        <v>65.709999999999994</v>
      </c>
      <c r="AG224">
        <v>11.6</v>
      </c>
      <c r="AH224">
        <v>0</v>
      </c>
      <c r="AI224">
        <v>1</v>
      </c>
      <c r="AJ224">
        <v>6.13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0.26</v>
      </c>
      <c r="AU224" t="s">
        <v>53</v>
      </c>
      <c r="AV224">
        <v>0</v>
      </c>
      <c r="AW224">
        <v>2</v>
      </c>
      <c r="AX224">
        <v>39478019</v>
      </c>
      <c r="AY224">
        <v>1</v>
      </c>
      <c r="AZ224">
        <v>0</v>
      </c>
      <c r="BA224">
        <v>211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Y224*Source!I88</f>
        <v>1.3650000000000002E-2</v>
      </c>
      <c r="CY224">
        <f>AB224</f>
        <v>402.8</v>
      </c>
      <c r="CZ224">
        <f>AF224</f>
        <v>65.709999999999994</v>
      </c>
      <c r="DA224">
        <f>AJ224</f>
        <v>6.13</v>
      </c>
      <c r="DB224">
        <v>0</v>
      </c>
    </row>
    <row r="225" spans="1:106" x14ac:dyDescent="0.2">
      <c r="A225">
        <f>ROW(Source!A88)</f>
        <v>88</v>
      </c>
      <c r="B225">
        <v>39476960</v>
      </c>
      <c r="C225">
        <v>39478015</v>
      </c>
      <c r="D225">
        <v>36829996</v>
      </c>
      <c r="E225">
        <v>1</v>
      </c>
      <c r="F225">
        <v>1</v>
      </c>
      <c r="G225">
        <v>1</v>
      </c>
      <c r="H225">
        <v>3</v>
      </c>
      <c r="I225" t="s">
        <v>1057</v>
      </c>
      <c r="J225" t="s">
        <v>1058</v>
      </c>
      <c r="K225" t="s">
        <v>1059</v>
      </c>
      <c r="L225">
        <v>1339</v>
      </c>
      <c r="N225">
        <v>1007</v>
      </c>
      <c r="O225" t="s">
        <v>25</v>
      </c>
      <c r="P225" t="s">
        <v>25</v>
      </c>
      <c r="Q225">
        <v>1</v>
      </c>
      <c r="W225">
        <v>0</v>
      </c>
      <c r="X225">
        <v>-559620783</v>
      </c>
      <c r="Y225">
        <v>0.82</v>
      </c>
      <c r="AA225">
        <v>12076.1</v>
      </c>
      <c r="AB225">
        <v>0</v>
      </c>
      <c r="AC225">
        <v>0</v>
      </c>
      <c r="AD225">
        <v>0</v>
      </c>
      <c r="AE225">
        <v>1970</v>
      </c>
      <c r="AF225">
        <v>0</v>
      </c>
      <c r="AG225">
        <v>0</v>
      </c>
      <c r="AH225">
        <v>0</v>
      </c>
      <c r="AI225">
        <v>6.13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0.82</v>
      </c>
      <c r="AU225" t="s">
        <v>3</v>
      </c>
      <c r="AV225">
        <v>0</v>
      </c>
      <c r="AW225">
        <v>2</v>
      </c>
      <c r="AX225">
        <v>39478020</v>
      </c>
      <c r="AY225">
        <v>1</v>
      </c>
      <c r="AZ225">
        <v>0</v>
      </c>
      <c r="BA225">
        <v>212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Y225*Source!I88</f>
        <v>2.87E-2</v>
      </c>
      <c r="CY225">
        <f>AA225</f>
        <v>12076.1</v>
      </c>
      <c r="CZ225">
        <f>AE225</f>
        <v>1970</v>
      </c>
      <c r="DA225">
        <f>AI225</f>
        <v>6.13</v>
      </c>
      <c r="DB225">
        <v>0</v>
      </c>
    </row>
    <row r="226" spans="1:106" x14ac:dyDescent="0.2">
      <c r="A226">
        <f>ROW(Source!A88)</f>
        <v>88</v>
      </c>
      <c r="B226">
        <v>39476960</v>
      </c>
      <c r="C226">
        <v>39478015</v>
      </c>
      <c r="D226">
        <v>36832948</v>
      </c>
      <c r="E226">
        <v>1</v>
      </c>
      <c r="F226">
        <v>1</v>
      </c>
      <c r="G226">
        <v>1</v>
      </c>
      <c r="H226">
        <v>3</v>
      </c>
      <c r="I226" t="s">
        <v>1060</v>
      </c>
      <c r="J226" t="s">
        <v>1061</v>
      </c>
      <c r="K226" t="s">
        <v>1062</v>
      </c>
      <c r="L226">
        <v>1327</v>
      </c>
      <c r="N226">
        <v>1005</v>
      </c>
      <c r="O226" t="s">
        <v>61</v>
      </c>
      <c r="P226" t="s">
        <v>61</v>
      </c>
      <c r="Q226">
        <v>1</v>
      </c>
      <c r="W226">
        <v>0</v>
      </c>
      <c r="X226">
        <v>-1963914880</v>
      </c>
      <c r="Y226">
        <v>21</v>
      </c>
      <c r="AA226">
        <v>35</v>
      </c>
      <c r="AB226">
        <v>0</v>
      </c>
      <c r="AC226">
        <v>0</v>
      </c>
      <c r="AD226">
        <v>0</v>
      </c>
      <c r="AE226">
        <v>5.71</v>
      </c>
      <c r="AF226">
        <v>0</v>
      </c>
      <c r="AG226">
        <v>0</v>
      </c>
      <c r="AH226">
        <v>0</v>
      </c>
      <c r="AI226">
        <v>6.13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21</v>
      </c>
      <c r="AU226" t="s">
        <v>3</v>
      </c>
      <c r="AV226">
        <v>0</v>
      </c>
      <c r="AW226">
        <v>2</v>
      </c>
      <c r="AX226">
        <v>39478021</v>
      </c>
      <c r="AY226">
        <v>1</v>
      </c>
      <c r="AZ226">
        <v>0</v>
      </c>
      <c r="BA226">
        <v>213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Y226*Source!I88</f>
        <v>0.7350000000000001</v>
      </c>
      <c r="CY226">
        <f>AA226</f>
        <v>35</v>
      </c>
      <c r="CZ226">
        <f>AE226</f>
        <v>5.71</v>
      </c>
      <c r="DA226">
        <f>AI226</f>
        <v>6.13</v>
      </c>
      <c r="DB226">
        <v>0</v>
      </c>
    </row>
    <row r="227" spans="1:106" x14ac:dyDescent="0.2">
      <c r="A227">
        <f>ROW(Source!A89)</f>
        <v>89</v>
      </c>
      <c r="B227">
        <v>39476960</v>
      </c>
      <c r="C227">
        <v>39479326</v>
      </c>
      <c r="D227">
        <v>37065248</v>
      </c>
      <c r="E227">
        <v>1</v>
      </c>
      <c r="F227">
        <v>1</v>
      </c>
      <c r="G227">
        <v>1</v>
      </c>
      <c r="H227">
        <v>1</v>
      </c>
      <c r="I227" t="s">
        <v>895</v>
      </c>
      <c r="J227" t="s">
        <v>3</v>
      </c>
      <c r="K227" t="s">
        <v>896</v>
      </c>
      <c r="L227">
        <v>1191</v>
      </c>
      <c r="N227">
        <v>1013</v>
      </c>
      <c r="O227" t="s">
        <v>796</v>
      </c>
      <c r="P227" t="s">
        <v>796</v>
      </c>
      <c r="Q227">
        <v>1</v>
      </c>
      <c r="W227">
        <v>0</v>
      </c>
      <c r="X227">
        <v>-400197608</v>
      </c>
      <c r="Y227">
        <v>66.709999999999994</v>
      </c>
      <c r="AA227">
        <v>0</v>
      </c>
      <c r="AB227">
        <v>0</v>
      </c>
      <c r="AC227">
        <v>0</v>
      </c>
      <c r="AD227">
        <v>52.29</v>
      </c>
      <c r="AE227">
        <v>0</v>
      </c>
      <c r="AF227">
        <v>0</v>
      </c>
      <c r="AG227">
        <v>0</v>
      </c>
      <c r="AH227">
        <v>8.5299999999999994</v>
      </c>
      <c r="AI227">
        <v>1</v>
      </c>
      <c r="AJ227">
        <v>1</v>
      </c>
      <c r="AK227">
        <v>1</v>
      </c>
      <c r="AL227">
        <v>6.13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66.709999999999994</v>
      </c>
      <c r="AU227" t="s">
        <v>3</v>
      </c>
      <c r="AV227">
        <v>1</v>
      </c>
      <c r="AW227">
        <v>2</v>
      </c>
      <c r="AX227">
        <v>39479327</v>
      </c>
      <c r="AY227">
        <v>1</v>
      </c>
      <c r="AZ227">
        <v>0</v>
      </c>
      <c r="BA227">
        <v>214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Y227*Source!I89</f>
        <v>4.46957</v>
      </c>
      <c r="CY227">
        <f>AD227</f>
        <v>52.29</v>
      </c>
      <c r="CZ227">
        <f>AH227</f>
        <v>8.5299999999999994</v>
      </c>
      <c r="DA227">
        <f>AL227</f>
        <v>6.13</v>
      </c>
      <c r="DB227">
        <v>0</v>
      </c>
    </row>
    <row r="228" spans="1:106" x14ac:dyDescent="0.2">
      <c r="A228">
        <f>ROW(Source!A89)</f>
        <v>89</v>
      </c>
      <c r="B228">
        <v>39476960</v>
      </c>
      <c r="C228">
        <v>39479326</v>
      </c>
      <c r="D228">
        <v>37064876</v>
      </c>
      <c r="E228">
        <v>1</v>
      </c>
      <c r="F228">
        <v>1</v>
      </c>
      <c r="G228">
        <v>1</v>
      </c>
      <c r="H228">
        <v>1</v>
      </c>
      <c r="I228" t="s">
        <v>797</v>
      </c>
      <c r="J228" t="s">
        <v>3</v>
      </c>
      <c r="K228" t="s">
        <v>798</v>
      </c>
      <c r="L228">
        <v>1191</v>
      </c>
      <c r="N228">
        <v>1013</v>
      </c>
      <c r="O228" t="s">
        <v>796</v>
      </c>
      <c r="P228" t="s">
        <v>796</v>
      </c>
      <c r="Q228">
        <v>1</v>
      </c>
      <c r="W228">
        <v>0</v>
      </c>
      <c r="X228">
        <v>-1417349443</v>
      </c>
      <c r="Y228">
        <v>1.86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6.13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1.86</v>
      </c>
      <c r="AU228" t="s">
        <v>3</v>
      </c>
      <c r="AV228">
        <v>2</v>
      </c>
      <c r="AW228">
        <v>2</v>
      </c>
      <c r="AX228">
        <v>39479328</v>
      </c>
      <c r="AY228">
        <v>1</v>
      </c>
      <c r="AZ228">
        <v>0</v>
      </c>
      <c r="BA228">
        <v>215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Y228*Source!I89</f>
        <v>0.12462000000000001</v>
      </c>
      <c r="CY228">
        <f>AD228</f>
        <v>0</v>
      </c>
      <c r="CZ228">
        <f>AH228</f>
        <v>0</v>
      </c>
      <c r="DA228">
        <f>AL228</f>
        <v>1</v>
      </c>
      <c r="DB228">
        <v>0</v>
      </c>
    </row>
    <row r="229" spans="1:106" x14ac:dyDescent="0.2">
      <c r="A229">
        <f>ROW(Source!A89)</f>
        <v>89</v>
      </c>
      <c r="B229">
        <v>39476960</v>
      </c>
      <c r="C229">
        <v>39479326</v>
      </c>
      <c r="D229">
        <v>36882452</v>
      </c>
      <c r="E229">
        <v>1</v>
      </c>
      <c r="F229">
        <v>1</v>
      </c>
      <c r="G229">
        <v>1</v>
      </c>
      <c r="H229">
        <v>2</v>
      </c>
      <c r="I229" t="s">
        <v>799</v>
      </c>
      <c r="J229" t="s">
        <v>800</v>
      </c>
      <c r="K229" t="s">
        <v>801</v>
      </c>
      <c r="L229">
        <v>1368</v>
      </c>
      <c r="N229">
        <v>1011</v>
      </c>
      <c r="O229" t="s">
        <v>802</v>
      </c>
      <c r="P229" t="s">
        <v>802</v>
      </c>
      <c r="Q229">
        <v>1</v>
      </c>
      <c r="W229">
        <v>0</v>
      </c>
      <c r="X229">
        <v>1188625873</v>
      </c>
      <c r="Y229">
        <v>0.76</v>
      </c>
      <c r="AA229">
        <v>0</v>
      </c>
      <c r="AB229">
        <v>191.62</v>
      </c>
      <c r="AC229">
        <v>13.5</v>
      </c>
      <c r="AD229">
        <v>0</v>
      </c>
      <c r="AE229">
        <v>0</v>
      </c>
      <c r="AF229">
        <v>31.26</v>
      </c>
      <c r="AG229">
        <v>13.5</v>
      </c>
      <c r="AH229">
        <v>0</v>
      </c>
      <c r="AI229">
        <v>1</v>
      </c>
      <c r="AJ229">
        <v>6.13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0.76</v>
      </c>
      <c r="AU229" t="s">
        <v>3</v>
      </c>
      <c r="AV229">
        <v>0</v>
      </c>
      <c r="AW229">
        <v>2</v>
      </c>
      <c r="AX229">
        <v>39479329</v>
      </c>
      <c r="AY229">
        <v>1</v>
      </c>
      <c r="AZ229">
        <v>0</v>
      </c>
      <c r="BA229">
        <v>216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Y229*Source!I89</f>
        <v>5.0920000000000007E-2</v>
      </c>
      <c r="CY229">
        <f>AB229</f>
        <v>191.62</v>
      </c>
      <c r="CZ229">
        <f>AF229</f>
        <v>31.26</v>
      </c>
      <c r="DA229">
        <f>AJ229</f>
        <v>6.13</v>
      </c>
      <c r="DB229">
        <v>0</v>
      </c>
    </row>
    <row r="230" spans="1:106" x14ac:dyDescent="0.2">
      <c r="A230">
        <f>ROW(Source!A89)</f>
        <v>89</v>
      </c>
      <c r="B230">
        <v>39476960</v>
      </c>
      <c r="C230">
        <v>39479326</v>
      </c>
      <c r="D230">
        <v>36883554</v>
      </c>
      <c r="E230">
        <v>1</v>
      </c>
      <c r="F230">
        <v>1</v>
      </c>
      <c r="G230">
        <v>1</v>
      </c>
      <c r="H230">
        <v>2</v>
      </c>
      <c r="I230" t="s">
        <v>834</v>
      </c>
      <c r="J230" t="s">
        <v>835</v>
      </c>
      <c r="K230" t="s">
        <v>836</v>
      </c>
      <c r="L230">
        <v>1368</v>
      </c>
      <c r="N230">
        <v>1011</v>
      </c>
      <c r="O230" t="s">
        <v>802</v>
      </c>
      <c r="P230" t="s">
        <v>802</v>
      </c>
      <c r="Q230">
        <v>1</v>
      </c>
      <c r="W230">
        <v>0</v>
      </c>
      <c r="X230">
        <v>1372534845</v>
      </c>
      <c r="Y230">
        <v>1.1000000000000001</v>
      </c>
      <c r="AA230">
        <v>0</v>
      </c>
      <c r="AB230">
        <v>402.8</v>
      </c>
      <c r="AC230">
        <v>11.6</v>
      </c>
      <c r="AD230">
        <v>0</v>
      </c>
      <c r="AE230">
        <v>0</v>
      </c>
      <c r="AF230">
        <v>65.709999999999994</v>
      </c>
      <c r="AG230">
        <v>11.6</v>
      </c>
      <c r="AH230">
        <v>0</v>
      </c>
      <c r="AI230">
        <v>1</v>
      </c>
      <c r="AJ230">
        <v>6.13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1.1000000000000001</v>
      </c>
      <c r="AU230" t="s">
        <v>3</v>
      </c>
      <c r="AV230">
        <v>0</v>
      </c>
      <c r="AW230">
        <v>2</v>
      </c>
      <c r="AX230">
        <v>39479330</v>
      </c>
      <c r="AY230">
        <v>1</v>
      </c>
      <c r="AZ230">
        <v>0</v>
      </c>
      <c r="BA230">
        <v>217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Y230*Source!I89</f>
        <v>7.3700000000000015E-2</v>
      </c>
      <c r="CY230">
        <f>AB230</f>
        <v>402.8</v>
      </c>
      <c r="CZ230">
        <f>AF230</f>
        <v>65.709999999999994</v>
      </c>
      <c r="DA230">
        <f>AJ230</f>
        <v>6.13</v>
      </c>
      <c r="DB230">
        <v>0</v>
      </c>
    </row>
    <row r="231" spans="1:106" x14ac:dyDescent="0.2">
      <c r="A231">
        <f>ROW(Source!A89)</f>
        <v>89</v>
      </c>
      <c r="B231">
        <v>39476960</v>
      </c>
      <c r="C231">
        <v>39479326</v>
      </c>
      <c r="D231">
        <v>36884458</v>
      </c>
      <c r="E231">
        <v>1</v>
      </c>
      <c r="F231">
        <v>1</v>
      </c>
      <c r="G231">
        <v>1</v>
      </c>
      <c r="H231">
        <v>2</v>
      </c>
      <c r="I231" t="s">
        <v>1063</v>
      </c>
      <c r="J231" t="s">
        <v>1064</v>
      </c>
      <c r="K231" t="s">
        <v>1065</v>
      </c>
      <c r="L231">
        <v>1368</v>
      </c>
      <c r="N231">
        <v>1011</v>
      </c>
      <c r="O231" t="s">
        <v>802</v>
      </c>
      <c r="P231" t="s">
        <v>802</v>
      </c>
      <c r="Q231">
        <v>1</v>
      </c>
      <c r="W231">
        <v>0</v>
      </c>
      <c r="X231">
        <v>-1403447487</v>
      </c>
      <c r="Y231">
        <v>2.7</v>
      </c>
      <c r="AA231">
        <v>0</v>
      </c>
      <c r="AB231">
        <v>12.81</v>
      </c>
      <c r="AC231">
        <v>0</v>
      </c>
      <c r="AD231">
        <v>0</v>
      </c>
      <c r="AE231">
        <v>0</v>
      </c>
      <c r="AF231">
        <v>2.09</v>
      </c>
      <c r="AG231">
        <v>0</v>
      </c>
      <c r="AH231">
        <v>0</v>
      </c>
      <c r="AI231">
        <v>1</v>
      </c>
      <c r="AJ231">
        <v>6.13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2.7</v>
      </c>
      <c r="AU231" t="s">
        <v>3</v>
      </c>
      <c r="AV231">
        <v>0</v>
      </c>
      <c r="AW231">
        <v>2</v>
      </c>
      <c r="AX231">
        <v>39479331</v>
      </c>
      <c r="AY231">
        <v>1</v>
      </c>
      <c r="AZ231">
        <v>0</v>
      </c>
      <c r="BA231">
        <v>218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Y231*Source!I89</f>
        <v>0.18090000000000003</v>
      </c>
      <c r="CY231">
        <f>AB231</f>
        <v>12.81</v>
      </c>
      <c r="CZ231">
        <f>AF231</f>
        <v>2.09</v>
      </c>
      <c r="DA231">
        <f>AJ231</f>
        <v>6.13</v>
      </c>
      <c r="DB231">
        <v>0</v>
      </c>
    </row>
    <row r="232" spans="1:106" x14ac:dyDescent="0.2">
      <c r="A232">
        <f>ROW(Source!A89)</f>
        <v>89</v>
      </c>
      <c r="B232">
        <v>39476960</v>
      </c>
      <c r="C232">
        <v>39479326</v>
      </c>
      <c r="D232">
        <v>36804545</v>
      </c>
      <c r="E232">
        <v>1</v>
      </c>
      <c r="F232">
        <v>1</v>
      </c>
      <c r="G232">
        <v>1</v>
      </c>
      <c r="H232">
        <v>3</v>
      </c>
      <c r="I232" t="s">
        <v>846</v>
      </c>
      <c r="J232" t="s">
        <v>847</v>
      </c>
      <c r="K232" t="s">
        <v>848</v>
      </c>
      <c r="L232">
        <v>1348</v>
      </c>
      <c r="N232">
        <v>1009</v>
      </c>
      <c r="O232" t="s">
        <v>34</v>
      </c>
      <c r="P232" t="s">
        <v>34</v>
      </c>
      <c r="Q232">
        <v>1000</v>
      </c>
      <c r="W232">
        <v>0</v>
      </c>
      <c r="X232">
        <v>1174701286</v>
      </c>
      <c r="Y232">
        <v>2.6200000000000001E-2</v>
      </c>
      <c r="AA232">
        <v>73425.14</v>
      </c>
      <c r="AB232">
        <v>0</v>
      </c>
      <c r="AC232">
        <v>0</v>
      </c>
      <c r="AD232">
        <v>0</v>
      </c>
      <c r="AE232">
        <v>11978</v>
      </c>
      <c r="AF232">
        <v>0</v>
      </c>
      <c r="AG232">
        <v>0</v>
      </c>
      <c r="AH232">
        <v>0</v>
      </c>
      <c r="AI232">
        <v>6.13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2.6200000000000001E-2</v>
      </c>
      <c r="AU232" t="s">
        <v>3</v>
      </c>
      <c r="AV232">
        <v>0</v>
      </c>
      <c r="AW232">
        <v>2</v>
      </c>
      <c r="AX232">
        <v>39479332</v>
      </c>
      <c r="AY232">
        <v>1</v>
      </c>
      <c r="AZ232">
        <v>0</v>
      </c>
      <c r="BA232">
        <v>219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Y232*Source!I89</f>
        <v>1.7554000000000003E-3</v>
      </c>
      <c r="CY232">
        <f>AA232</f>
        <v>73425.14</v>
      </c>
      <c r="CZ232">
        <f>AE232</f>
        <v>11978</v>
      </c>
      <c r="DA232">
        <f>AI232</f>
        <v>6.13</v>
      </c>
      <c r="DB232">
        <v>0</v>
      </c>
    </row>
    <row r="233" spans="1:106" x14ac:dyDescent="0.2">
      <c r="A233">
        <f>ROW(Source!A89)</f>
        <v>89</v>
      </c>
      <c r="B233">
        <v>39476960</v>
      </c>
      <c r="C233">
        <v>39479326</v>
      </c>
      <c r="D233">
        <v>36830489</v>
      </c>
      <c r="E233">
        <v>1</v>
      </c>
      <c r="F233">
        <v>1</v>
      </c>
      <c r="G233">
        <v>1</v>
      </c>
      <c r="H233">
        <v>3</v>
      </c>
      <c r="I233" t="s">
        <v>281</v>
      </c>
      <c r="J233" t="s">
        <v>283</v>
      </c>
      <c r="K233" t="s">
        <v>282</v>
      </c>
      <c r="L233">
        <v>1339</v>
      </c>
      <c r="N233">
        <v>1007</v>
      </c>
      <c r="O233" t="s">
        <v>25</v>
      </c>
      <c r="P233" t="s">
        <v>25</v>
      </c>
      <c r="Q233">
        <v>1</v>
      </c>
      <c r="W233">
        <v>0</v>
      </c>
      <c r="X233">
        <v>-1425381336</v>
      </c>
      <c r="Y233">
        <v>4</v>
      </c>
      <c r="AA233">
        <v>6743</v>
      </c>
      <c r="AB233">
        <v>0</v>
      </c>
      <c r="AC233">
        <v>0</v>
      </c>
      <c r="AD233">
        <v>0</v>
      </c>
      <c r="AE233">
        <v>1100</v>
      </c>
      <c r="AF233">
        <v>0</v>
      </c>
      <c r="AG233">
        <v>0</v>
      </c>
      <c r="AH233">
        <v>0</v>
      </c>
      <c r="AI233">
        <v>6.13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3</v>
      </c>
      <c r="AT233">
        <v>4</v>
      </c>
      <c r="AU233" t="s">
        <v>3</v>
      </c>
      <c r="AV233">
        <v>0</v>
      </c>
      <c r="AW233">
        <v>1</v>
      </c>
      <c r="AX233">
        <v>-1</v>
      </c>
      <c r="AY233">
        <v>0</v>
      </c>
      <c r="AZ233">
        <v>0</v>
      </c>
      <c r="BA233" t="s">
        <v>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Y233*Source!I89</f>
        <v>0.26800000000000002</v>
      </c>
      <c r="CY233">
        <f>AA233</f>
        <v>6743</v>
      </c>
      <c r="CZ233">
        <f>AE233</f>
        <v>1100</v>
      </c>
      <c r="DA233">
        <f>AI233</f>
        <v>6.13</v>
      </c>
      <c r="DB233">
        <v>0</v>
      </c>
    </row>
    <row r="234" spans="1:106" x14ac:dyDescent="0.2">
      <c r="A234">
        <f>ROW(Source!A91)</f>
        <v>91</v>
      </c>
      <c r="B234">
        <v>39476960</v>
      </c>
      <c r="C234">
        <v>39478022</v>
      </c>
      <c r="D234">
        <v>37066717</v>
      </c>
      <c r="E234">
        <v>1</v>
      </c>
      <c r="F234">
        <v>1</v>
      </c>
      <c r="G234">
        <v>1</v>
      </c>
      <c r="H234">
        <v>1</v>
      </c>
      <c r="I234" t="s">
        <v>909</v>
      </c>
      <c r="J234" t="s">
        <v>3</v>
      </c>
      <c r="K234" t="s">
        <v>910</v>
      </c>
      <c r="L234">
        <v>1191</v>
      </c>
      <c r="N234">
        <v>1013</v>
      </c>
      <c r="O234" t="s">
        <v>796</v>
      </c>
      <c r="P234" t="s">
        <v>796</v>
      </c>
      <c r="Q234">
        <v>1</v>
      </c>
      <c r="W234">
        <v>0</v>
      </c>
      <c r="X234">
        <v>-509590494</v>
      </c>
      <c r="Y234">
        <v>52.398599999999995</v>
      </c>
      <c r="AA234">
        <v>0</v>
      </c>
      <c r="AB234">
        <v>0</v>
      </c>
      <c r="AC234">
        <v>0</v>
      </c>
      <c r="AD234">
        <v>50.08</v>
      </c>
      <c r="AE234">
        <v>0</v>
      </c>
      <c r="AF234">
        <v>0</v>
      </c>
      <c r="AG234">
        <v>0</v>
      </c>
      <c r="AH234">
        <v>8.17</v>
      </c>
      <c r="AI234">
        <v>1</v>
      </c>
      <c r="AJ234">
        <v>1</v>
      </c>
      <c r="AK234">
        <v>1</v>
      </c>
      <c r="AL234">
        <v>6.13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37.97</v>
      </c>
      <c r="AU234" t="s">
        <v>54</v>
      </c>
      <c r="AV234">
        <v>1</v>
      </c>
      <c r="AW234">
        <v>2</v>
      </c>
      <c r="AX234">
        <v>39478023</v>
      </c>
      <c r="AY234">
        <v>1</v>
      </c>
      <c r="AZ234">
        <v>0</v>
      </c>
      <c r="BA234">
        <v>221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Y234*Source!I91</f>
        <v>3.5107062</v>
      </c>
      <c r="CY234">
        <f>AD234</f>
        <v>50.08</v>
      </c>
      <c r="CZ234">
        <f>AH234</f>
        <v>8.17</v>
      </c>
      <c r="DA234">
        <f>AL234</f>
        <v>6.13</v>
      </c>
      <c r="DB234">
        <v>0</v>
      </c>
    </row>
    <row r="235" spans="1:106" x14ac:dyDescent="0.2">
      <c r="A235">
        <f>ROW(Source!A91)</f>
        <v>91</v>
      </c>
      <c r="B235">
        <v>39476960</v>
      </c>
      <c r="C235">
        <v>39478022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797</v>
      </c>
      <c r="J235" t="s">
        <v>3</v>
      </c>
      <c r="K235" t="s">
        <v>798</v>
      </c>
      <c r="L235">
        <v>1191</v>
      </c>
      <c r="N235">
        <v>1013</v>
      </c>
      <c r="O235" t="s">
        <v>796</v>
      </c>
      <c r="P235" t="s">
        <v>796</v>
      </c>
      <c r="Q235">
        <v>1</v>
      </c>
      <c r="W235">
        <v>0</v>
      </c>
      <c r="X235">
        <v>-1417349443</v>
      </c>
      <c r="Y235">
        <v>7.18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6.13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7.18</v>
      </c>
      <c r="AU235" t="s">
        <v>3</v>
      </c>
      <c r="AV235">
        <v>2</v>
      </c>
      <c r="AW235">
        <v>2</v>
      </c>
      <c r="AX235">
        <v>39478024</v>
      </c>
      <c r="AY235">
        <v>1</v>
      </c>
      <c r="AZ235">
        <v>2048</v>
      </c>
      <c r="BA235">
        <v>222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Y235*Source!I91</f>
        <v>0.48105999999999999</v>
      </c>
      <c r="CY235">
        <f>AD235</f>
        <v>0</v>
      </c>
      <c r="CZ235">
        <f>AH235</f>
        <v>0</v>
      </c>
      <c r="DA235">
        <f>AL235</f>
        <v>1</v>
      </c>
      <c r="DB235">
        <v>0</v>
      </c>
    </row>
    <row r="236" spans="1:106" x14ac:dyDescent="0.2">
      <c r="A236">
        <f>ROW(Source!A91)</f>
        <v>91</v>
      </c>
      <c r="B236">
        <v>39476960</v>
      </c>
      <c r="C236">
        <v>39478022</v>
      </c>
      <c r="D236">
        <v>36882452</v>
      </c>
      <c r="E236">
        <v>1</v>
      </c>
      <c r="F236">
        <v>1</v>
      </c>
      <c r="G236">
        <v>1</v>
      </c>
      <c r="H236">
        <v>2</v>
      </c>
      <c r="I236" t="s">
        <v>799</v>
      </c>
      <c r="J236" t="s">
        <v>800</v>
      </c>
      <c r="K236" t="s">
        <v>801</v>
      </c>
      <c r="L236">
        <v>1368</v>
      </c>
      <c r="N236">
        <v>1011</v>
      </c>
      <c r="O236" t="s">
        <v>802</v>
      </c>
      <c r="P236" t="s">
        <v>802</v>
      </c>
      <c r="Q236">
        <v>1</v>
      </c>
      <c r="W236">
        <v>0</v>
      </c>
      <c r="X236">
        <v>1188625873</v>
      </c>
      <c r="Y236">
        <v>0.19500000000000001</v>
      </c>
      <c r="AA236">
        <v>0</v>
      </c>
      <c r="AB236">
        <v>191.62</v>
      </c>
      <c r="AC236">
        <v>13.5</v>
      </c>
      <c r="AD236">
        <v>0</v>
      </c>
      <c r="AE236">
        <v>0</v>
      </c>
      <c r="AF236">
        <v>31.26</v>
      </c>
      <c r="AG236">
        <v>13.5</v>
      </c>
      <c r="AH236">
        <v>0</v>
      </c>
      <c r="AI236">
        <v>1</v>
      </c>
      <c r="AJ236">
        <v>6.13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0.13</v>
      </c>
      <c r="AU236" t="s">
        <v>53</v>
      </c>
      <c r="AV236">
        <v>0</v>
      </c>
      <c r="AW236">
        <v>2</v>
      </c>
      <c r="AX236">
        <v>39478025</v>
      </c>
      <c r="AY236">
        <v>1</v>
      </c>
      <c r="AZ236">
        <v>0</v>
      </c>
      <c r="BA236">
        <v>223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Y236*Source!I91</f>
        <v>1.3065000000000002E-2</v>
      </c>
      <c r="CY236">
        <f>AB236</f>
        <v>191.62</v>
      </c>
      <c r="CZ236">
        <f>AF236</f>
        <v>31.26</v>
      </c>
      <c r="DA236">
        <f>AJ236</f>
        <v>6.13</v>
      </c>
      <c r="DB236">
        <v>0</v>
      </c>
    </row>
    <row r="237" spans="1:106" x14ac:dyDescent="0.2">
      <c r="A237">
        <f>ROW(Source!A91)</f>
        <v>91</v>
      </c>
      <c r="B237">
        <v>39476960</v>
      </c>
      <c r="C237">
        <v>39478022</v>
      </c>
      <c r="D237">
        <v>36883554</v>
      </c>
      <c r="E237">
        <v>1</v>
      </c>
      <c r="F237">
        <v>1</v>
      </c>
      <c r="G237">
        <v>1</v>
      </c>
      <c r="H237">
        <v>2</v>
      </c>
      <c r="I237" t="s">
        <v>834</v>
      </c>
      <c r="J237" t="s">
        <v>835</v>
      </c>
      <c r="K237" t="s">
        <v>836</v>
      </c>
      <c r="L237">
        <v>1368</v>
      </c>
      <c r="N237">
        <v>1011</v>
      </c>
      <c r="O237" t="s">
        <v>802</v>
      </c>
      <c r="P237" t="s">
        <v>802</v>
      </c>
      <c r="Q237">
        <v>1</v>
      </c>
      <c r="W237">
        <v>0</v>
      </c>
      <c r="X237">
        <v>1372534845</v>
      </c>
      <c r="Y237">
        <v>0.52500000000000002</v>
      </c>
      <c r="AA237">
        <v>0</v>
      </c>
      <c r="AB237">
        <v>402.8</v>
      </c>
      <c r="AC237">
        <v>11.6</v>
      </c>
      <c r="AD237">
        <v>0</v>
      </c>
      <c r="AE237">
        <v>0</v>
      </c>
      <c r="AF237">
        <v>65.709999999999994</v>
      </c>
      <c r="AG237">
        <v>11.6</v>
      </c>
      <c r="AH237">
        <v>0</v>
      </c>
      <c r="AI237">
        <v>1</v>
      </c>
      <c r="AJ237">
        <v>6.13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0.35</v>
      </c>
      <c r="AU237" t="s">
        <v>53</v>
      </c>
      <c r="AV237">
        <v>0</v>
      </c>
      <c r="AW237">
        <v>2</v>
      </c>
      <c r="AX237">
        <v>39478026</v>
      </c>
      <c r="AY237">
        <v>1</v>
      </c>
      <c r="AZ237">
        <v>0</v>
      </c>
      <c r="BA237">
        <v>224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Y237*Source!I91</f>
        <v>3.5175000000000005E-2</v>
      </c>
      <c r="CY237">
        <f>AB237</f>
        <v>402.8</v>
      </c>
      <c r="CZ237">
        <f>AF237</f>
        <v>65.709999999999994</v>
      </c>
      <c r="DA237">
        <f>AJ237</f>
        <v>6.13</v>
      </c>
      <c r="DB237">
        <v>0</v>
      </c>
    </row>
    <row r="238" spans="1:106" x14ac:dyDescent="0.2">
      <c r="A238">
        <f>ROW(Source!A91)</f>
        <v>91</v>
      </c>
      <c r="B238">
        <v>39476960</v>
      </c>
      <c r="C238">
        <v>39478022</v>
      </c>
      <c r="D238">
        <v>36883878</v>
      </c>
      <c r="E238">
        <v>1</v>
      </c>
      <c r="F238">
        <v>1</v>
      </c>
      <c r="G238">
        <v>1</v>
      </c>
      <c r="H238">
        <v>2</v>
      </c>
      <c r="I238" t="s">
        <v>1066</v>
      </c>
      <c r="J238" t="s">
        <v>1067</v>
      </c>
      <c r="K238" t="s">
        <v>1068</v>
      </c>
      <c r="L238">
        <v>1368</v>
      </c>
      <c r="N238">
        <v>1011</v>
      </c>
      <c r="O238" t="s">
        <v>802</v>
      </c>
      <c r="P238" t="s">
        <v>802</v>
      </c>
      <c r="Q238">
        <v>1</v>
      </c>
      <c r="W238">
        <v>0</v>
      </c>
      <c r="X238">
        <v>-1589061407</v>
      </c>
      <c r="Y238">
        <v>10.049999999999999</v>
      </c>
      <c r="AA238">
        <v>0</v>
      </c>
      <c r="AB238">
        <v>551.70000000000005</v>
      </c>
      <c r="AC238">
        <v>10.06</v>
      </c>
      <c r="AD238">
        <v>0</v>
      </c>
      <c r="AE238">
        <v>0</v>
      </c>
      <c r="AF238">
        <v>90</v>
      </c>
      <c r="AG238">
        <v>10.06</v>
      </c>
      <c r="AH238">
        <v>0</v>
      </c>
      <c r="AI238">
        <v>1</v>
      </c>
      <c r="AJ238">
        <v>6.13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3</v>
      </c>
      <c r="AT238">
        <v>6.7</v>
      </c>
      <c r="AU238" t="s">
        <v>53</v>
      </c>
      <c r="AV238">
        <v>0</v>
      </c>
      <c r="AW238">
        <v>2</v>
      </c>
      <c r="AX238">
        <v>39478027</v>
      </c>
      <c r="AY238">
        <v>1</v>
      </c>
      <c r="AZ238">
        <v>0</v>
      </c>
      <c r="BA238">
        <v>225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Y238*Source!I91</f>
        <v>0.67335</v>
      </c>
      <c r="CY238">
        <f>AB238</f>
        <v>551.70000000000005</v>
      </c>
      <c r="CZ238">
        <f>AF238</f>
        <v>90</v>
      </c>
      <c r="DA238">
        <f>AJ238</f>
        <v>6.13</v>
      </c>
      <c r="DB238">
        <v>0</v>
      </c>
    </row>
    <row r="239" spans="1:106" x14ac:dyDescent="0.2">
      <c r="A239">
        <f>ROW(Source!A91)</f>
        <v>91</v>
      </c>
      <c r="B239">
        <v>39476960</v>
      </c>
      <c r="C239">
        <v>39478022</v>
      </c>
      <c r="D239">
        <v>36831561</v>
      </c>
      <c r="E239">
        <v>1</v>
      </c>
      <c r="F239">
        <v>1</v>
      </c>
      <c r="G239">
        <v>1</v>
      </c>
      <c r="H239">
        <v>3</v>
      </c>
      <c r="I239" t="s">
        <v>1069</v>
      </c>
      <c r="J239" t="s">
        <v>1070</v>
      </c>
      <c r="K239" t="s">
        <v>1071</v>
      </c>
      <c r="L239">
        <v>1339</v>
      </c>
      <c r="N239">
        <v>1007</v>
      </c>
      <c r="O239" t="s">
        <v>25</v>
      </c>
      <c r="P239" t="s">
        <v>25</v>
      </c>
      <c r="Q239">
        <v>1</v>
      </c>
      <c r="W239">
        <v>0</v>
      </c>
      <c r="X239">
        <v>-1138698268</v>
      </c>
      <c r="Y239">
        <v>1.24</v>
      </c>
      <c r="AA239">
        <v>26476.02</v>
      </c>
      <c r="AB239">
        <v>0</v>
      </c>
      <c r="AC239">
        <v>0</v>
      </c>
      <c r="AD239">
        <v>0</v>
      </c>
      <c r="AE239">
        <v>4319.09</v>
      </c>
      <c r="AF239">
        <v>0</v>
      </c>
      <c r="AG239">
        <v>0</v>
      </c>
      <c r="AH239">
        <v>0</v>
      </c>
      <c r="AI239">
        <v>6.13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1.24</v>
      </c>
      <c r="AU239" t="s">
        <v>3</v>
      </c>
      <c r="AV239">
        <v>0</v>
      </c>
      <c r="AW239">
        <v>2</v>
      </c>
      <c r="AX239">
        <v>39478029</v>
      </c>
      <c r="AY239">
        <v>1</v>
      </c>
      <c r="AZ239">
        <v>0</v>
      </c>
      <c r="BA239">
        <v>227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Y239*Source!I91</f>
        <v>8.3080000000000001E-2</v>
      </c>
      <c r="CY239">
        <f>AA239</f>
        <v>26476.02</v>
      </c>
      <c r="CZ239">
        <f>AE239</f>
        <v>4319.09</v>
      </c>
      <c r="DA239">
        <f>AI239</f>
        <v>6.13</v>
      </c>
      <c r="DB239">
        <v>0</v>
      </c>
    </row>
    <row r="240" spans="1:106" x14ac:dyDescent="0.2">
      <c r="A240">
        <f>ROW(Source!A92)</f>
        <v>92</v>
      </c>
      <c r="B240">
        <v>39476960</v>
      </c>
      <c r="C240">
        <v>39478031</v>
      </c>
      <c r="D240">
        <v>37066837</v>
      </c>
      <c r="E240">
        <v>1</v>
      </c>
      <c r="F240">
        <v>1</v>
      </c>
      <c r="G240">
        <v>1</v>
      </c>
      <c r="H240">
        <v>1</v>
      </c>
      <c r="I240" t="s">
        <v>1049</v>
      </c>
      <c r="J240" t="s">
        <v>3</v>
      </c>
      <c r="K240" t="s">
        <v>1050</v>
      </c>
      <c r="L240">
        <v>1191</v>
      </c>
      <c r="N240">
        <v>1013</v>
      </c>
      <c r="O240" t="s">
        <v>796</v>
      </c>
      <c r="P240" t="s">
        <v>796</v>
      </c>
      <c r="Q240">
        <v>1</v>
      </c>
      <c r="W240">
        <v>0</v>
      </c>
      <c r="X240">
        <v>1850719656</v>
      </c>
      <c r="Y240">
        <v>58.511999999999993</v>
      </c>
      <c r="AA240">
        <v>0</v>
      </c>
      <c r="AB240">
        <v>0</v>
      </c>
      <c r="AC240">
        <v>0</v>
      </c>
      <c r="AD240">
        <v>50.94</v>
      </c>
      <c r="AE240">
        <v>0</v>
      </c>
      <c r="AF240">
        <v>0</v>
      </c>
      <c r="AG240">
        <v>0</v>
      </c>
      <c r="AH240">
        <v>8.31</v>
      </c>
      <c r="AI240">
        <v>1</v>
      </c>
      <c r="AJ240">
        <v>1</v>
      </c>
      <c r="AK240">
        <v>1</v>
      </c>
      <c r="AL240">
        <v>6.13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42.4</v>
      </c>
      <c r="AU240" t="s">
        <v>54</v>
      </c>
      <c r="AV240">
        <v>1</v>
      </c>
      <c r="AW240">
        <v>2</v>
      </c>
      <c r="AX240">
        <v>39478032</v>
      </c>
      <c r="AY240">
        <v>1</v>
      </c>
      <c r="AZ240">
        <v>0</v>
      </c>
      <c r="BA240">
        <v>228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Y240*Source!I92</f>
        <v>9.1278719999999982</v>
      </c>
      <c r="CY240">
        <f>AD240</f>
        <v>50.94</v>
      </c>
      <c r="CZ240">
        <f>AH240</f>
        <v>8.31</v>
      </c>
      <c r="DA240">
        <f>AL240</f>
        <v>6.13</v>
      </c>
      <c r="DB240">
        <v>0</v>
      </c>
    </row>
    <row r="241" spans="1:106" x14ac:dyDescent="0.2">
      <c r="A241">
        <f>ROW(Source!A92)</f>
        <v>92</v>
      </c>
      <c r="B241">
        <v>39476960</v>
      </c>
      <c r="C241">
        <v>39478031</v>
      </c>
      <c r="D241">
        <v>37064876</v>
      </c>
      <c r="E241">
        <v>1</v>
      </c>
      <c r="F241">
        <v>1</v>
      </c>
      <c r="G241">
        <v>1</v>
      </c>
      <c r="H241">
        <v>1</v>
      </c>
      <c r="I241" t="s">
        <v>797</v>
      </c>
      <c r="J241" t="s">
        <v>3</v>
      </c>
      <c r="K241" t="s">
        <v>798</v>
      </c>
      <c r="L241">
        <v>1191</v>
      </c>
      <c r="N241">
        <v>1013</v>
      </c>
      <c r="O241" t="s">
        <v>796</v>
      </c>
      <c r="P241" t="s">
        <v>796</v>
      </c>
      <c r="Q241">
        <v>1</v>
      </c>
      <c r="W241">
        <v>0</v>
      </c>
      <c r="X241">
        <v>-1417349443</v>
      </c>
      <c r="Y241">
        <v>0.85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6.13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0.85</v>
      </c>
      <c r="AU241" t="s">
        <v>3</v>
      </c>
      <c r="AV241">
        <v>2</v>
      </c>
      <c r="AW241">
        <v>2</v>
      </c>
      <c r="AX241">
        <v>39478033</v>
      </c>
      <c r="AY241">
        <v>1</v>
      </c>
      <c r="AZ241">
        <v>2048</v>
      </c>
      <c r="BA241">
        <v>229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Y241*Source!I92</f>
        <v>0.1326</v>
      </c>
      <c r="CY241">
        <f>AD241</f>
        <v>0</v>
      </c>
      <c r="CZ241">
        <f>AH241</f>
        <v>0</v>
      </c>
      <c r="DA241">
        <f>AL241</f>
        <v>1</v>
      </c>
      <c r="DB241">
        <v>0</v>
      </c>
    </row>
    <row r="242" spans="1:106" x14ac:dyDescent="0.2">
      <c r="A242">
        <f>ROW(Source!A92)</f>
        <v>92</v>
      </c>
      <c r="B242">
        <v>39476960</v>
      </c>
      <c r="C242">
        <v>39478031</v>
      </c>
      <c r="D242">
        <v>36882452</v>
      </c>
      <c r="E242">
        <v>1</v>
      </c>
      <c r="F242">
        <v>1</v>
      </c>
      <c r="G242">
        <v>1</v>
      </c>
      <c r="H242">
        <v>2</v>
      </c>
      <c r="I242" t="s">
        <v>799</v>
      </c>
      <c r="J242" t="s">
        <v>800</v>
      </c>
      <c r="K242" t="s">
        <v>801</v>
      </c>
      <c r="L242">
        <v>1368</v>
      </c>
      <c r="N242">
        <v>1011</v>
      </c>
      <c r="O242" t="s">
        <v>802</v>
      </c>
      <c r="P242" t="s">
        <v>802</v>
      </c>
      <c r="Q242">
        <v>1</v>
      </c>
      <c r="W242">
        <v>0</v>
      </c>
      <c r="X242">
        <v>1188625873</v>
      </c>
      <c r="Y242">
        <v>0.52500000000000002</v>
      </c>
      <c r="AA242">
        <v>0</v>
      </c>
      <c r="AB242">
        <v>191.62</v>
      </c>
      <c r="AC242">
        <v>13.5</v>
      </c>
      <c r="AD242">
        <v>0</v>
      </c>
      <c r="AE242">
        <v>0</v>
      </c>
      <c r="AF242">
        <v>31.26</v>
      </c>
      <c r="AG242">
        <v>13.5</v>
      </c>
      <c r="AH242">
        <v>0</v>
      </c>
      <c r="AI242">
        <v>1</v>
      </c>
      <c r="AJ242">
        <v>6.13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3</v>
      </c>
      <c r="AT242">
        <v>0.35</v>
      </c>
      <c r="AU242" t="s">
        <v>53</v>
      </c>
      <c r="AV242">
        <v>0</v>
      </c>
      <c r="AW242">
        <v>2</v>
      </c>
      <c r="AX242">
        <v>39478034</v>
      </c>
      <c r="AY242">
        <v>1</v>
      </c>
      <c r="AZ242">
        <v>0</v>
      </c>
      <c r="BA242">
        <v>230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Y242*Source!I92</f>
        <v>8.1900000000000001E-2</v>
      </c>
      <c r="CY242">
        <f>AB242</f>
        <v>191.62</v>
      </c>
      <c r="CZ242">
        <f>AF242</f>
        <v>31.26</v>
      </c>
      <c r="DA242">
        <f>AJ242</f>
        <v>6.13</v>
      </c>
      <c r="DB242">
        <v>0</v>
      </c>
    </row>
    <row r="243" spans="1:106" x14ac:dyDescent="0.2">
      <c r="A243">
        <f>ROW(Source!A92)</f>
        <v>92</v>
      </c>
      <c r="B243">
        <v>39476960</v>
      </c>
      <c r="C243">
        <v>39478031</v>
      </c>
      <c r="D243">
        <v>36883554</v>
      </c>
      <c r="E243">
        <v>1</v>
      </c>
      <c r="F243">
        <v>1</v>
      </c>
      <c r="G243">
        <v>1</v>
      </c>
      <c r="H243">
        <v>2</v>
      </c>
      <c r="I243" t="s">
        <v>834</v>
      </c>
      <c r="J243" t="s">
        <v>835</v>
      </c>
      <c r="K243" t="s">
        <v>836</v>
      </c>
      <c r="L243">
        <v>1368</v>
      </c>
      <c r="N243">
        <v>1011</v>
      </c>
      <c r="O243" t="s">
        <v>802</v>
      </c>
      <c r="P243" t="s">
        <v>802</v>
      </c>
      <c r="Q243">
        <v>1</v>
      </c>
      <c r="W243">
        <v>0</v>
      </c>
      <c r="X243">
        <v>1372534845</v>
      </c>
      <c r="Y243">
        <v>0.75</v>
      </c>
      <c r="AA243">
        <v>0</v>
      </c>
      <c r="AB243">
        <v>402.8</v>
      </c>
      <c r="AC243">
        <v>11.6</v>
      </c>
      <c r="AD243">
        <v>0</v>
      </c>
      <c r="AE243">
        <v>0</v>
      </c>
      <c r="AF243">
        <v>65.709999999999994</v>
      </c>
      <c r="AG243">
        <v>11.6</v>
      </c>
      <c r="AH243">
        <v>0</v>
      </c>
      <c r="AI243">
        <v>1</v>
      </c>
      <c r="AJ243">
        <v>6.13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0.5</v>
      </c>
      <c r="AU243" t="s">
        <v>53</v>
      </c>
      <c r="AV243">
        <v>0</v>
      </c>
      <c r="AW243">
        <v>2</v>
      </c>
      <c r="AX243">
        <v>39478035</v>
      </c>
      <c r="AY243">
        <v>1</v>
      </c>
      <c r="AZ243">
        <v>0</v>
      </c>
      <c r="BA243">
        <v>231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Y243*Source!I92</f>
        <v>0.11699999999999999</v>
      </c>
      <c r="CY243">
        <f>AB243</f>
        <v>402.8</v>
      </c>
      <c r="CZ243">
        <f>AF243</f>
        <v>65.709999999999994</v>
      </c>
      <c r="DA243">
        <f>AJ243</f>
        <v>6.13</v>
      </c>
      <c r="DB243">
        <v>0</v>
      </c>
    </row>
    <row r="244" spans="1:106" x14ac:dyDescent="0.2">
      <c r="A244">
        <f>ROW(Source!A92)</f>
        <v>92</v>
      </c>
      <c r="B244">
        <v>39476960</v>
      </c>
      <c r="C244">
        <v>39478031</v>
      </c>
      <c r="D244">
        <v>36797243</v>
      </c>
      <c r="E244">
        <v>17</v>
      </c>
      <c r="F244">
        <v>1</v>
      </c>
      <c r="G244">
        <v>1</v>
      </c>
      <c r="H244">
        <v>3</v>
      </c>
      <c r="I244" t="s">
        <v>301</v>
      </c>
      <c r="J244" t="s">
        <v>3</v>
      </c>
      <c r="K244" t="s">
        <v>302</v>
      </c>
      <c r="L244">
        <v>1327</v>
      </c>
      <c r="N244">
        <v>1005</v>
      </c>
      <c r="O244" t="s">
        <v>61</v>
      </c>
      <c r="P244" t="s">
        <v>61</v>
      </c>
      <c r="Q244">
        <v>1</v>
      </c>
      <c r="W244">
        <v>0</v>
      </c>
      <c r="X244">
        <v>-919469713</v>
      </c>
      <c r="Y244">
        <v>102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6.13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3</v>
      </c>
      <c r="AT244">
        <v>102</v>
      </c>
      <c r="AU244" t="s">
        <v>3</v>
      </c>
      <c r="AV244">
        <v>0</v>
      </c>
      <c r="AW244">
        <v>2</v>
      </c>
      <c r="AX244">
        <v>39478036</v>
      </c>
      <c r="AY244">
        <v>1</v>
      </c>
      <c r="AZ244">
        <v>0</v>
      </c>
      <c r="BA244">
        <v>232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Y244*Source!I92</f>
        <v>15.912000000000001</v>
      </c>
      <c r="CY244">
        <f>AA244</f>
        <v>0</v>
      </c>
      <c r="CZ244">
        <f>AE244</f>
        <v>0</v>
      </c>
      <c r="DA244">
        <f>AI244</f>
        <v>6.13</v>
      </c>
      <c r="DB244">
        <v>0</v>
      </c>
    </row>
    <row r="245" spans="1:106" x14ac:dyDescent="0.2">
      <c r="A245">
        <f>ROW(Source!A92)</f>
        <v>92</v>
      </c>
      <c r="B245">
        <v>39476960</v>
      </c>
      <c r="C245">
        <v>39478031</v>
      </c>
      <c r="D245">
        <v>36801535</v>
      </c>
      <c r="E245">
        <v>1</v>
      </c>
      <c r="F245">
        <v>1</v>
      </c>
      <c r="G245">
        <v>1</v>
      </c>
      <c r="H245">
        <v>3</v>
      </c>
      <c r="I245" t="s">
        <v>293</v>
      </c>
      <c r="J245" t="s">
        <v>295</v>
      </c>
      <c r="K245" t="s">
        <v>294</v>
      </c>
      <c r="L245">
        <v>1327</v>
      </c>
      <c r="N245">
        <v>1005</v>
      </c>
      <c r="O245" t="s">
        <v>61</v>
      </c>
      <c r="P245" t="s">
        <v>61</v>
      </c>
      <c r="Q245">
        <v>1</v>
      </c>
      <c r="W245">
        <v>0</v>
      </c>
      <c r="X245">
        <v>-1736667289</v>
      </c>
      <c r="Y245">
        <v>102</v>
      </c>
      <c r="AA245">
        <v>1080.17</v>
      </c>
      <c r="AB245">
        <v>0</v>
      </c>
      <c r="AC245">
        <v>0</v>
      </c>
      <c r="AD245">
        <v>0</v>
      </c>
      <c r="AE245">
        <v>176.21</v>
      </c>
      <c r="AF245">
        <v>0</v>
      </c>
      <c r="AG245">
        <v>0</v>
      </c>
      <c r="AH245">
        <v>0</v>
      </c>
      <c r="AI245">
        <v>6.13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3</v>
      </c>
      <c r="AT245">
        <v>102</v>
      </c>
      <c r="AU245" t="s">
        <v>3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Y245*Source!I92</f>
        <v>15.912000000000001</v>
      </c>
      <c r="CY245">
        <f>AA245</f>
        <v>1080.17</v>
      </c>
      <c r="CZ245">
        <f>AE245</f>
        <v>176.21</v>
      </c>
      <c r="DA245">
        <f>AI245</f>
        <v>6.13</v>
      </c>
      <c r="DB245">
        <v>0</v>
      </c>
    </row>
    <row r="246" spans="1:106" x14ac:dyDescent="0.2">
      <c r="A246">
        <f>ROW(Source!A92)</f>
        <v>92</v>
      </c>
      <c r="B246">
        <v>39476960</v>
      </c>
      <c r="C246">
        <v>39478031</v>
      </c>
      <c r="D246">
        <v>36805524</v>
      </c>
      <c r="E246">
        <v>1</v>
      </c>
      <c r="F246">
        <v>1</v>
      </c>
      <c r="G246">
        <v>1</v>
      </c>
      <c r="H246">
        <v>3</v>
      </c>
      <c r="I246" t="s">
        <v>960</v>
      </c>
      <c r="J246" t="s">
        <v>961</v>
      </c>
      <c r="K246" t="s">
        <v>962</v>
      </c>
      <c r="L246">
        <v>1346</v>
      </c>
      <c r="N246">
        <v>1009</v>
      </c>
      <c r="O246" t="s">
        <v>217</v>
      </c>
      <c r="P246" t="s">
        <v>217</v>
      </c>
      <c r="Q246">
        <v>1</v>
      </c>
      <c r="W246">
        <v>0</v>
      </c>
      <c r="X246">
        <v>813963326</v>
      </c>
      <c r="Y246">
        <v>0.5</v>
      </c>
      <c r="AA246">
        <v>11.16</v>
      </c>
      <c r="AB246">
        <v>0</v>
      </c>
      <c r="AC246">
        <v>0</v>
      </c>
      <c r="AD246">
        <v>0</v>
      </c>
      <c r="AE246">
        <v>1.82</v>
      </c>
      <c r="AF246">
        <v>0</v>
      </c>
      <c r="AG246">
        <v>0</v>
      </c>
      <c r="AH246">
        <v>0</v>
      </c>
      <c r="AI246">
        <v>6.13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0.5</v>
      </c>
      <c r="AU246" t="s">
        <v>3</v>
      </c>
      <c r="AV246">
        <v>0</v>
      </c>
      <c r="AW246">
        <v>2</v>
      </c>
      <c r="AX246">
        <v>39478037</v>
      </c>
      <c r="AY246">
        <v>1</v>
      </c>
      <c r="AZ246">
        <v>0</v>
      </c>
      <c r="BA246">
        <v>233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Y246*Source!I92</f>
        <v>7.8E-2</v>
      </c>
      <c r="CY246">
        <f>AA246</f>
        <v>11.16</v>
      </c>
      <c r="CZ246">
        <f>AE246</f>
        <v>1.82</v>
      </c>
      <c r="DA246">
        <f>AI246</f>
        <v>6.13</v>
      </c>
      <c r="DB246">
        <v>0</v>
      </c>
    </row>
    <row r="247" spans="1:106" x14ac:dyDescent="0.2">
      <c r="A247">
        <f>ROW(Source!A92)</f>
        <v>92</v>
      </c>
      <c r="B247">
        <v>39476960</v>
      </c>
      <c r="C247">
        <v>39478031</v>
      </c>
      <c r="D247">
        <v>36836955</v>
      </c>
      <c r="E247">
        <v>1</v>
      </c>
      <c r="F247">
        <v>1</v>
      </c>
      <c r="G247">
        <v>1</v>
      </c>
      <c r="H247">
        <v>3</v>
      </c>
      <c r="I247" t="s">
        <v>297</v>
      </c>
      <c r="J247" t="s">
        <v>299</v>
      </c>
      <c r="K247" t="s">
        <v>298</v>
      </c>
      <c r="L247">
        <v>1348</v>
      </c>
      <c r="N247">
        <v>1009</v>
      </c>
      <c r="O247" t="s">
        <v>34</v>
      </c>
      <c r="P247" t="s">
        <v>34</v>
      </c>
      <c r="Q247">
        <v>1000</v>
      </c>
      <c r="W247">
        <v>0</v>
      </c>
      <c r="X247">
        <v>486476101</v>
      </c>
      <c r="Y247">
        <v>0.05</v>
      </c>
      <c r="AA247">
        <v>69269</v>
      </c>
      <c r="AB247">
        <v>0</v>
      </c>
      <c r="AC247">
        <v>0</v>
      </c>
      <c r="AD247">
        <v>0</v>
      </c>
      <c r="AE247">
        <v>11300</v>
      </c>
      <c r="AF247">
        <v>0</v>
      </c>
      <c r="AG247">
        <v>0</v>
      </c>
      <c r="AH247">
        <v>0</v>
      </c>
      <c r="AI247">
        <v>6.13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3</v>
      </c>
      <c r="AT247">
        <v>0.05</v>
      </c>
      <c r="AU247" t="s">
        <v>3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Y247*Source!I92</f>
        <v>7.8000000000000005E-3</v>
      </c>
      <c r="CY247">
        <f>AA247</f>
        <v>69269</v>
      </c>
      <c r="CZ247">
        <f>AE247</f>
        <v>11300</v>
      </c>
      <c r="DA247">
        <f>AI247</f>
        <v>6.13</v>
      </c>
      <c r="DB247">
        <v>0</v>
      </c>
    </row>
    <row r="248" spans="1:106" x14ac:dyDescent="0.2">
      <c r="A248">
        <f>ROW(Source!A92)</f>
        <v>92</v>
      </c>
      <c r="B248">
        <v>39476960</v>
      </c>
      <c r="C248">
        <v>39478031</v>
      </c>
      <c r="D248">
        <v>36796764</v>
      </c>
      <c r="E248">
        <v>17</v>
      </c>
      <c r="F248">
        <v>1</v>
      </c>
      <c r="G248">
        <v>1</v>
      </c>
      <c r="H248">
        <v>3</v>
      </c>
      <c r="I248" t="s">
        <v>229</v>
      </c>
      <c r="J248" t="s">
        <v>3</v>
      </c>
      <c r="K248" t="s">
        <v>304</v>
      </c>
      <c r="L248">
        <v>1346</v>
      </c>
      <c r="N248">
        <v>1009</v>
      </c>
      <c r="O248" t="s">
        <v>217</v>
      </c>
      <c r="P248" t="s">
        <v>217</v>
      </c>
      <c r="Q248">
        <v>1</v>
      </c>
      <c r="W248">
        <v>0</v>
      </c>
      <c r="X248">
        <v>290394019</v>
      </c>
      <c r="Y248">
        <v>50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6.13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3</v>
      </c>
      <c r="AT248">
        <v>50</v>
      </c>
      <c r="AU248" t="s">
        <v>3</v>
      </c>
      <c r="AV248">
        <v>0</v>
      </c>
      <c r="AW248">
        <v>2</v>
      </c>
      <c r="AX248">
        <v>39478038</v>
      </c>
      <c r="AY248">
        <v>1</v>
      </c>
      <c r="AZ248">
        <v>0</v>
      </c>
      <c r="BA248">
        <v>234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Y248*Source!I92</f>
        <v>7.8</v>
      </c>
      <c r="CY248">
        <f>AA248</f>
        <v>0</v>
      </c>
      <c r="CZ248">
        <f>AE248</f>
        <v>0</v>
      </c>
      <c r="DA248">
        <f>AI248</f>
        <v>6.13</v>
      </c>
      <c r="DB248">
        <v>0</v>
      </c>
    </row>
    <row r="249" spans="1:106" x14ac:dyDescent="0.2">
      <c r="A249">
        <f>ROW(Source!A97)</f>
        <v>97</v>
      </c>
      <c r="B249">
        <v>39476960</v>
      </c>
      <c r="C249">
        <v>39478067</v>
      </c>
      <c r="D249">
        <v>37071037</v>
      </c>
      <c r="E249">
        <v>1</v>
      </c>
      <c r="F249">
        <v>1</v>
      </c>
      <c r="G249">
        <v>1</v>
      </c>
      <c r="H249">
        <v>1</v>
      </c>
      <c r="I249" t="s">
        <v>992</v>
      </c>
      <c r="J249" t="s">
        <v>3</v>
      </c>
      <c r="K249" t="s">
        <v>993</v>
      </c>
      <c r="L249">
        <v>1191</v>
      </c>
      <c r="N249">
        <v>1013</v>
      </c>
      <c r="O249" t="s">
        <v>796</v>
      </c>
      <c r="P249" t="s">
        <v>796</v>
      </c>
      <c r="Q249">
        <v>1</v>
      </c>
      <c r="W249">
        <v>0</v>
      </c>
      <c r="X249">
        <v>1069510174</v>
      </c>
      <c r="Y249">
        <v>52.798799999999993</v>
      </c>
      <c r="AA249">
        <v>0</v>
      </c>
      <c r="AB249">
        <v>0</v>
      </c>
      <c r="AC249">
        <v>0</v>
      </c>
      <c r="AD249">
        <v>58.97</v>
      </c>
      <c r="AE249">
        <v>0</v>
      </c>
      <c r="AF249">
        <v>0</v>
      </c>
      <c r="AG249">
        <v>0</v>
      </c>
      <c r="AH249">
        <v>9.6199999999999992</v>
      </c>
      <c r="AI249">
        <v>1</v>
      </c>
      <c r="AJ249">
        <v>1</v>
      </c>
      <c r="AK249">
        <v>1</v>
      </c>
      <c r="AL249">
        <v>6.13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38.26</v>
      </c>
      <c r="AU249" t="s">
        <v>54</v>
      </c>
      <c r="AV249">
        <v>1</v>
      </c>
      <c r="AW249">
        <v>2</v>
      </c>
      <c r="AX249">
        <v>39478068</v>
      </c>
      <c r="AY249">
        <v>1</v>
      </c>
      <c r="AZ249">
        <v>0</v>
      </c>
      <c r="BA249">
        <v>235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Y249*Source!I97</f>
        <v>42.239039999999996</v>
      </c>
      <c r="CY249">
        <f>AD249</f>
        <v>58.97</v>
      </c>
      <c r="CZ249">
        <f>AH249</f>
        <v>9.6199999999999992</v>
      </c>
      <c r="DA249">
        <f>AL249</f>
        <v>6.13</v>
      </c>
      <c r="DB249">
        <v>0</v>
      </c>
    </row>
    <row r="250" spans="1:106" x14ac:dyDescent="0.2">
      <c r="A250">
        <f>ROW(Source!A97)</f>
        <v>97</v>
      </c>
      <c r="B250">
        <v>39476960</v>
      </c>
      <c r="C250">
        <v>39478067</v>
      </c>
      <c r="D250">
        <v>37064876</v>
      </c>
      <c r="E250">
        <v>1</v>
      </c>
      <c r="F250">
        <v>1</v>
      </c>
      <c r="G250">
        <v>1</v>
      </c>
      <c r="H250">
        <v>1</v>
      </c>
      <c r="I250" t="s">
        <v>797</v>
      </c>
      <c r="J250" t="s">
        <v>3</v>
      </c>
      <c r="K250" t="s">
        <v>798</v>
      </c>
      <c r="L250">
        <v>1191</v>
      </c>
      <c r="N250">
        <v>1013</v>
      </c>
      <c r="O250" t="s">
        <v>796</v>
      </c>
      <c r="P250" t="s">
        <v>796</v>
      </c>
      <c r="Q250">
        <v>1</v>
      </c>
      <c r="W250">
        <v>0</v>
      </c>
      <c r="X250">
        <v>-1417349443</v>
      </c>
      <c r="Y250">
        <v>0.89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6.13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0.89</v>
      </c>
      <c r="AU250" t="s">
        <v>3</v>
      </c>
      <c r="AV250">
        <v>2</v>
      </c>
      <c r="AW250">
        <v>2</v>
      </c>
      <c r="AX250">
        <v>39478069</v>
      </c>
      <c r="AY250">
        <v>1</v>
      </c>
      <c r="AZ250">
        <v>2048</v>
      </c>
      <c r="BA250">
        <v>236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Y250*Source!I97</f>
        <v>0.71200000000000008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 x14ac:dyDescent="0.2">
      <c r="A251">
        <f>ROW(Source!A97)</f>
        <v>97</v>
      </c>
      <c r="B251">
        <v>39476960</v>
      </c>
      <c r="C251">
        <v>39478067</v>
      </c>
      <c r="D251">
        <v>36882159</v>
      </c>
      <c r="E251">
        <v>1</v>
      </c>
      <c r="F251">
        <v>1</v>
      </c>
      <c r="G251">
        <v>1</v>
      </c>
      <c r="H251">
        <v>2</v>
      </c>
      <c r="I251" t="s">
        <v>825</v>
      </c>
      <c r="J251" t="s">
        <v>826</v>
      </c>
      <c r="K251" t="s">
        <v>827</v>
      </c>
      <c r="L251">
        <v>1368</v>
      </c>
      <c r="N251">
        <v>1011</v>
      </c>
      <c r="O251" t="s">
        <v>802</v>
      </c>
      <c r="P251" t="s">
        <v>802</v>
      </c>
      <c r="Q251">
        <v>1</v>
      </c>
      <c r="W251">
        <v>0</v>
      </c>
      <c r="X251">
        <v>-1718674368</v>
      </c>
      <c r="Y251">
        <v>0.435</v>
      </c>
      <c r="AA251">
        <v>0</v>
      </c>
      <c r="AB251">
        <v>686.5</v>
      </c>
      <c r="AC251">
        <v>13.5</v>
      </c>
      <c r="AD251">
        <v>0</v>
      </c>
      <c r="AE251">
        <v>0</v>
      </c>
      <c r="AF251">
        <v>111.99</v>
      </c>
      <c r="AG251">
        <v>13.5</v>
      </c>
      <c r="AH251">
        <v>0</v>
      </c>
      <c r="AI251">
        <v>1</v>
      </c>
      <c r="AJ251">
        <v>6.13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0.28999999999999998</v>
      </c>
      <c r="AU251" t="s">
        <v>53</v>
      </c>
      <c r="AV251">
        <v>0</v>
      </c>
      <c r="AW251">
        <v>2</v>
      </c>
      <c r="AX251">
        <v>39478070</v>
      </c>
      <c r="AY251">
        <v>1</v>
      </c>
      <c r="AZ251">
        <v>0</v>
      </c>
      <c r="BA251">
        <v>237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Y251*Source!I97</f>
        <v>0.34800000000000003</v>
      </c>
      <c r="CY251">
        <f t="shared" ref="CY251:CY256" si="30">AB251</f>
        <v>686.5</v>
      </c>
      <c r="CZ251">
        <f t="shared" ref="CZ251:CZ256" si="31">AF251</f>
        <v>111.99</v>
      </c>
      <c r="DA251">
        <f t="shared" ref="DA251:DA256" si="32">AJ251</f>
        <v>6.13</v>
      </c>
      <c r="DB251">
        <v>0</v>
      </c>
    </row>
    <row r="252" spans="1:106" x14ac:dyDescent="0.2">
      <c r="A252">
        <f>ROW(Source!A97)</f>
        <v>97</v>
      </c>
      <c r="B252">
        <v>39476960</v>
      </c>
      <c r="C252">
        <v>39478067</v>
      </c>
      <c r="D252">
        <v>36882161</v>
      </c>
      <c r="E252">
        <v>1</v>
      </c>
      <c r="F252">
        <v>1</v>
      </c>
      <c r="G252">
        <v>1</v>
      </c>
      <c r="H252">
        <v>2</v>
      </c>
      <c r="I252" t="s">
        <v>1072</v>
      </c>
      <c r="J252" t="s">
        <v>1073</v>
      </c>
      <c r="K252" t="s">
        <v>1074</v>
      </c>
      <c r="L252">
        <v>1368</v>
      </c>
      <c r="N252">
        <v>1011</v>
      </c>
      <c r="O252" t="s">
        <v>802</v>
      </c>
      <c r="P252" t="s">
        <v>802</v>
      </c>
      <c r="Q252">
        <v>1</v>
      </c>
      <c r="W252">
        <v>0</v>
      </c>
      <c r="X252">
        <v>1254003961</v>
      </c>
      <c r="Y252">
        <v>0.24</v>
      </c>
      <c r="AA252">
        <v>0</v>
      </c>
      <c r="AB252">
        <v>707.4</v>
      </c>
      <c r="AC252">
        <v>13.5</v>
      </c>
      <c r="AD252">
        <v>0</v>
      </c>
      <c r="AE252">
        <v>0</v>
      </c>
      <c r="AF252">
        <v>115.4</v>
      </c>
      <c r="AG252">
        <v>13.5</v>
      </c>
      <c r="AH252">
        <v>0</v>
      </c>
      <c r="AI252">
        <v>1</v>
      </c>
      <c r="AJ252">
        <v>6.13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0.16</v>
      </c>
      <c r="AU252" t="s">
        <v>53</v>
      </c>
      <c r="AV252">
        <v>0</v>
      </c>
      <c r="AW252">
        <v>2</v>
      </c>
      <c r="AX252">
        <v>39478071</v>
      </c>
      <c r="AY252">
        <v>1</v>
      </c>
      <c r="AZ252">
        <v>0</v>
      </c>
      <c r="BA252">
        <v>238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Y252*Source!I97</f>
        <v>0.192</v>
      </c>
      <c r="CY252">
        <f t="shared" si="30"/>
        <v>707.4</v>
      </c>
      <c r="CZ252">
        <f t="shared" si="31"/>
        <v>115.4</v>
      </c>
      <c r="DA252">
        <f t="shared" si="32"/>
        <v>6.13</v>
      </c>
      <c r="DB252">
        <v>0</v>
      </c>
    </row>
    <row r="253" spans="1:106" x14ac:dyDescent="0.2">
      <c r="A253">
        <f>ROW(Source!A97)</f>
        <v>97</v>
      </c>
      <c r="B253">
        <v>39476960</v>
      </c>
      <c r="C253">
        <v>39478067</v>
      </c>
      <c r="D253">
        <v>36882351</v>
      </c>
      <c r="E253">
        <v>1</v>
      </c>
      <c r="F253">
        <v>1</v>
      </c>
      <c r="G253">
        <v>1</v>
      </c>
      <c r="H253">
        <v>2</v>
      </c>
      <c r="I253" t="s">
        <v>1075</v>
      </c>
      <c r="J253" t="s">
        <v>1076</v>
      </c>
      <c r="K253" t="s">
        <v>1077</v>
      </c>
      <c r="L253">
        <v>1368</v>
      </c>
      <c r="N253">
        <v>1011</v>
      </c>
      <c r="O253" t="s">
        <v>802</v>
      </c>
      <c r="P253" t="s">
        <v>802</v>
      </c>
      <c r="Q253">
        <v>1</v>
      </c>
      <c r="W253">
        <v>0</v>
      </c>
      <c r="X253">
        <v>-1985289705</v>
      </c>
      <c r="Y253">
        <v>15.135</v>
      </c>
      <c r="AA253">
        <v>0</v>
      </c>
      <c r="AB253">
        <v>40.83</v>
      </c>
      <c r="AC253">
        <v>0</v>
      </c>
      <c r="AD253">
        <v>0</v>
      </c>
      <c r="AE253">
        <v>0</v>
      </c>
      <c r="AF253">
        <v>6.66</v>
      </c>
      <c r="AG253">
        <v>0</v>
      </c>
      <c r="AH253">
        <v>0</v>
      </c>
      <c r="AI253">
        <v>1</v>
      </c>
      <c r="AJ253">
        <v>6.13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10.09</v>
      </c>
      <c r="AU253" t="s">
        <v>53</v>
      </c>
      <c r="AV253">
        <v>0</v>
      </c>
      <c r="AW253">
        <v>2</v>
      </c>
      <c r="AX253">
        <v>39478072</v>
      </c>
      <c r="AY253">
        <v>1</v>
      </c>
      <c r="AZ253">
        <v>0</v>
      </c>
      <c r="BA253">
        <v>239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Y253*Source!I97</f>
        <v>12.108000000000001</v>
      </c>
      <c r="CY253">
        <f t="shared" si="30"/>
        <v>40.83</v>
      </c>
      <c r="CZ253">
        <f t="shared" si="31"/>
        <v>6.66</v>
      </c>
      <c r="DA253">
        <f t="shared" si="32"/>
        <v>6.13</v>
      </c>
      <c r="DB253">
        <v>0</v>
      </c>
    </row>
    <row r="254" spans="1:106" x14ac:dyDescent="0.2">
      <c r="A254">
        <f>ROW(Source!A97)</f>
        <v>97</v>
      </c>
      <c r="B254">
        <v>39476960</v>
      </c>
      <c r="C254">
        <v>39478067</v>
      </c>
      <c r="D254">
        <v>36883554</v>
      </c>
      <c r="E254">
        <v>1</v>
      </c>
      <c r="F254">
        <v>1</v>
      </c>
      <c r="G254">
        <v>1</v>
      </c>
      <c r="H254">
        <v>2</v>
      </c>
      <c r="I254" t="s">
        <v>834</v>
      </c>
      <c r="J254" t="s">
        <v>835</v>
      </c>
      <c r="K254" t="s">
        <v>836</v>
      </c>
      <c r="L254">
        <v>1368</v>
      </c>
      <c r="N254">
        <v>1011</v>
      </c>
      <c r="O254" t="s">
        <v>802</v>
      </c>
      <c r="P254" t="s">
        <v>802</v>
      </c>
      <c r="Q254">
        <v>1</v>
      </c>
      <c r="W254">
        <v>0</v>
      </c>
      <c r="X254">
        <v>1372534845</v>
      </c>
      <c r="Y254">
        <v>0.66</v>
      </c>
      <c r="AA254">
        <v>0</v>
      </c>
      <c r="AB254">
        <v>402.8</v>
      </c>
      <c r="AC254">
        <v>11.6</v>
      </c>
      <c r="AD254">
        <v>0</v>
      </c>
      <c r="AE254">
        <v>0</v>
      </c>
      <c r="AF254">
        <v>65.709999999999994</v>
      </c>
      <c r="AG254">
        <v>11.6</v>
      </c>
      <c r="AH254">
        <v>0</v>
      </c>
      <c r="AI254">
        <v>1</v>
      </c>
      <c r="AJ254">
        <v>6.13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3</v>
      </c>
      <c r="AT254">
        <v>0.44</v>
      </c>
      <c r="AU254" t="s">
        <v>53</v>
      </c>
      <c r="AV254">
        <v>0</v>
      </c>
      <c r="AW254">
        <v>2</v>
      </c>
      <c r="AX254">
        <v>39478073</v>
      </c>
      <c r="AY254">
        <v>1</v>
      </c>
      <c r="AZ254">
        <v>0</v>
      </c>
      <c r="BA254">
        <v>240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Y254*Source!I97</f>
        <v>0.52800000000000002</v>
      </c>
      <c r="CY254">
        <f t="shared" si="30"/>
        <v>402.8</v>
      </c>
      <c r="CZ254">
        <f t="shared" si="31"/>
        <v>65.709999999999994</v>
      </c>
      <c r="DA254">
        <f t="shared" si="32"/>
        <v>6.13</v>
      </c>
      <c r="DB254">
        <v>0</v>
      </c>
    </row>
    <row r="255" spans="1:106" x14ac:dyDescent="0.2">
      <c r="A255">
        <f>ROW(Source!A97)</f>
        <v>97</v>
      </c>
      <c r="B255">
        <v>39476960</v>
      </c>
      <c r="C255">
        <v>39478067</v>
      </c>
      <c r="D255">
        <v>36883789</v>
      </c>
      <c r="E255">
        <v>1</v>
      </c>
      <c r="F255">
        <v>1</v>
      </c>
      <c r="G255">
        <v>1</v>
      </c>
      <c r="H255">
        <v>2</v>
      </c>
      <c r="I255" t="s">
        <v>811</v>
      </c>
      <c r="J255" t="s">
        <v>812</v>
      </c>
      <c r="K255" t="s">
        <v>813</v>
      </c>
      <c r="L255">
        <v>1368</v>
      </c>
      <c r="N255">
        <v>1011</v>
      </c>
      <c r="O255" t="s">
        <v>802</v>
      </c>
      <c r="P255" t="s">
        <v>802</v>
      </c>
      <c r="Q255">
        <v>1</v>
      </c>
      <c r="W255">
        <v>0</v>
      </c>
      <c r="X255">
        <v>792402865</v>
      </c>
      <c r="Y255">
        <v>3.1349999999999998</v>
      </c>
      <c r="AA255">
        <v>0</v>
      </c>
      <c r="AB255">
        <v>7.36</v>
      </c>
      <c r="AC255">
        <v>0</v>
      </c>
      <c r="AD255">
        <v>0</v>
      </c>
      <c r="AE255">
        <v>0</v>
      </c>
      <c r="AF255">
        <v>1.2</v>
      </c>
      <c r="AG255">
        <v>0</v>
      </c>
      <c r="AH255">
        <v>0</v>
      </c>
      <c r="AI255">
        <v>1</v>
      </c>
      <c r="AJ255">
        <v>6.13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2.09</v>
      </c>
      <c r="AU255" t="s">
        <v>53</v>
      </c>
      <c r="AV255">
        <v>0</v>
      </c>
      <c r="AW255">
        <v>2</v>
      </c>
      <c r="AX255">
        <v>39478074</v>
      </c>
      <c r="AY255">
        <v>1</v>
      </c>
      <c r="AZ255">
        <v>0</v>
      </c>
      <c r="BA255">
        <v>241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Y255*Source!I97</f>
        <v>2.508</v>
      </c>
      <c r="CY255">
        <f t="shared" si="30"/>
        <v>7.36</v>
      </c>
      <c r="CZ255">
        <f t="shared" si="31"/>
        <v>1.2</v>
      </c>
      <c r="DA255">
        <f t="shared" si="32"/>
        <v>6.13</v>
      </c>
      <c r="DB255">
        <v>0</v>
      </c>
    </row>
    <row r="256" spans="1:106" x14ac:dyDescent="0.2">
      <c r="A256">
        <f>ROW(Source!A97)</f>
        <v>97</v>
      </c>
      <c r="B256">
        <v>39476960</v>
      </c>
      <c r="C256">
        <v>39478067</v>
      </c>
      <c r="D256">
        <v>36883836</v>
      </c>
      <c r="E256">
        <v>1</v>
      </c>
      <c r="F256">
        <v>1</v>
      </c>
      <c r="G256">
        <v>1</v>
      </c>
      <c r="H256">
        <v>2</v>
      </c>
      <c r="I256" t="s">
        <v>837</v>
      </c>
      <c r="J256" t="s">
        <v>838</v>
      </c>
      <c r="K256" t="s">
        <v>839</v>
      </c>
      <c r="L256">
        <v>1368</v>
      </c>
      <c r="N256">
        <v>1011</v>
      </c>
      <c r="O256" t="s">
        <v>802</v>
      </c>
      <c r="P256" t="s">
        <v>802</v>
      </c>
      <c r="Q256">
        <v>1</v>
      </c>
      <c r="W256">
        <v>0</v>
      </c>
      <c r="X256">
        <v>1323835807</v>
      </c>
      <c r="Y256">
        <v>16.454999999999998</v>
      </c>
      <c r="AA256">
        <v>0</v>
      </c>
      <c r="AB256">
        <v>75.459999999999994</v>
      </c>
      <c r="AC256">
        <v>0</v>
      </c>
      <c r="AD256">
        <v>0</v>
      </c>
      <c r="AE256">
        <v>0</v>
      </c>
      <c r="AF256">
        <v>12.31</v>
      </c>
      <c r="AG256">
        <v>0</v>
      </c>
      <c r="AH256">
        <v>0</v>
      </c>
      <c r="AI256">
        <v>1</v>
      </c>
      <c r="AJ256">
        <v>6.13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10.97</v>
      </c>
      <c r="AU256" t="s">
        <v>53</v>
      </c>
      <c r="AV256">
        <v>0</v>
      </c>
      <c r="AW256">
        <v>2</v>
      </c>
      <c r="AX256">
        <v>39478075</v>
      </c>
      <c r="AY256">
        <v>1</v>
      </c>
      <c r="AZ256">
        <v>0</v>
      </c>
      <c r="BA256">
        <v>242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Y256*Source!I97</f>
        <v>13.164</v>
      </c>
      <c r="CY256">
        <f t="shared" si="30"/>
        <v>75.459999999999994</v>
      </c>
      <c r="CZ256">
        <f t="shared" si="31"/>
        <v>12.31</v>
      </c>
      <c r="DA256">
        <f t="shared" si="32"/>
        <v>6.13</v>
      </c>
      <c r="DB256">
        <v>0</v>
      </c>
    </row>
    <row r="257" spans="1:106" x14ac:dyDescent="0.2">
      <c r="A257">
        <f>ROW(Source!A97)</f>
        <v>97</v>
      </c>
      <c r="B257">
        <v>39476960</v>
      </c>
      <c r="C257">
        <v>39478067</v>
      </c>
      <c r="D257">
        <v>36800159</v>
      </c>
      <c r="E257">
        <v>1</v>
      </c>
      <c r="F257">
        <v>1</v>
      </c>
      <c r="G257">
        <v>1</v>
      </c>
      <c r="H257">
        <v>3</v>
      </c>
      <c r="I257" t="s">
        <v>817</v>
      </c>
      <c r="J257" t="s">
        <v>818</v>
      </c>
      <c r="K257" t="s">
        <v>819</v>
      </c>
      <c r="L257">
        <v>1339</v>
      </c>
      <c r="N257">
        <v>1007</v>
      </c>
      <c r="O257" t="s">
        <v>25</v>
      </c>
      <c r="P257" t="s">
        <v>25</v>
      </c>
      <c r="Q257">
        <v>1</v>
      </c>
      <c r="W257">
        <v>0</v>
      </c>
      <c r="X257">
        <v>1262771840</v>
      </c>
      <c r="Y257">
        <v>1.7</v>
      </c>
      <c r="AA257">
        <v>38.130000000000003</v>
      </c>
      <c r="AB257">
        <v>0</v>
      </c>
      <c r="AC257">
        <v>0</v>
      </c>
      <c r="AD257">
        <v>0</v>
      </c>
      <c r="AE257">
        <v>6.22</v>
      </c>
      <c r="AF257">
        <v>0</v>
      </c>
      <c r="AG257">
        <v>0</v>
      </c>
      <c r="AH257">
        <v>0</v>
      </c>
      <c r="AI257">
        <v>6.13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1.7</v>
      </c>
      <c r="AU257" t="s">
        <v>3</v>
      </c>
      <c r="AV257">
        <v>0</v>
      </c>
      <c r="AW257">
        <v>2</v>
      </c>
      <c r="AX257">
        <v>39478076</v>
      </c>
      <c r="AY257">
        <v>1</v>
      </c>
      <c r="AZ257">
        <v>0</v>
      </c>
      <c r="BA257">
        <v>243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Y257*Source!I97</f>
        <v>1.36</v>
      </c>
      <c r="CY257">
        <f t="shared" ref="CY257:CY269" si="33">AA257</f>
        <v>38.130000000000003</v>
      </c>
      <c r="CZ257">
        <f t="shared" ref="CZ257:CZ269" si="34">AE257</f>
        <v>6.22</v>
      </c>
      <c r="DA257">
        <f t="shared" ref="DA257:DA269" si="35">AI257</f>
        <v>6.13</v>
      </c>
      <c r="DB257">
        <v>0</v>
      </c>
    </row>
    <row r="258" spans="1:106" x14ac:dyDescent="0.2">
      <c r="A258">
        <f>ROW(Source!A97)</f>
        <v>97</v>
      </c>
      <c r="B258">
        <v>39476960</v>
      </c>
      <c r="C258">
        <v>39478067</v>
      </c>
      <c r="D258">
        <v>36800166</v>
      </c>
      <c r="E258">
        <v>1</v>
      </c>
      <c r="F258">
        <v>1</v>
      </c>
      <c r="G258">
        <v>1</v>
      </c>
      <c r="H258">
        <v>3</v>
      </c>
      <c r="I258" t="s">
        <v>840</v>
      </c>
      <c r="J258" t="s">
        <v>841</v>
      </c>
      <c r="K258" t="s">
        <v>842</v>
      </c>
      <c r="L258">
        <v>1346</v>
      </c>
      <c r="N258">
        <v>1009</v>
      </c>
      <c r="O258" t="s">
        <v>217</v>
      </c>
      <c r="P258" t="s">
        <v>217</v>
      </c>
      <c r="Q258">
        <v>1</v>
      </c>
      <c r="W258">
        <v>0</v>
      </c>
      <c r="X258">
        <v>1721895514</v>
      </c>
      <c r="Y258">
        <v>0.51</v>
      </c>
      <c r="AA258">
        <v>37.33</v>
      </c>
      <c r="AB258">
        <v>0</v>
      </c>
      <c r="AC258">
        <v>0</v>
      </c>
      <c r="AD258">
        <v>0</v>
      </c>
      <c r="AE258">
        <v>6.09</v>
      </c>
      <c r="AF258">
        <v>0</v>
      </c>
      <c r="AG258">
        <v>0</v>
      </c>
      <c r="AH258">
        <v>0</v>
      </c>
      <c r="AI258">
        <v>6.13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0.51</v>
      </c>
      <c r="AU258" t="s">
        <v>3</v>
      </c>
      <c r="AV258">
        <v>0</v>
      </c>
      <c r="AW258">
        <v>2</v>
      </c>
      <c r="AX258">
        <v>39478077</v>
      </c>
      <c r="AY258">
        <v>1</v>
      </c>
      <c r="AZ258">
        <v>0</v>
      </c>
      <c r="BA258">
        <v>244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Y258*Source!I97</f>
        <v>0.40800000000000003</v>
      </c>
      <c r="CY258">
        <f t="shared" si="33"/>
        <v>37.33</v>
      </c>
      <c r="CZ258">
        <f t="shared" si="34"/>
        <v>6.09</v>
      </c>
      <c r="DA258">
        <f t="shared" si="35"/>
        <v>6.13</v>
      </c>
      <c r="DB258">
        <v>0</v>
      </c>
    </row>
    <row r="259" spans="1:106" x14ac:dyDescent="0.2">
      <c r="A259">
        <f>ROW(Source!A97)</f>
        <v>97</v>
      </c>
      <c r="B259">
        <v>39476960</v>
      </c>
      <c r="C259">
        <v>39478067</v>
      </c>
      <c r="D259">
        <v>36803256</v>
      </c>
      <c r="E259">
        <v>1</v>
      </c>
      <c r="F259">
        <v>1</v>
      </c>
      <c r="G259">
        <v>1</v>
      </c>
      <c r="H259">
        <v>3</v>
      </c>
      <c r="I259" t="s">
        <v>1078</v>
      </c>
      <c r="J259" t="s">
        <v>1079</v>
      </c>
      <c r="K259" t="s">
        <v>1080</v>
      </c>
      <c r="L259">
        <v>1348</v>
      </c>
      <c r="N259">
        <v>1009</v>
      </c>
      <c r="O259" t="s">
        <v>34</v>
      </c>
      <c r="P259" t="s">
        <v>34</v>
      </c>
      <c r="Q259">
        <v>1000</v>
      </c>
      <c r="W259">
        <v>0</v>
      </c>
      <c r="X259">
        <v>-714836380</v>
      </c>
      <c r="Y259">
        <v>6.0000000000000001E-3</v>
      </c>
      <c r="AA259">
        <v>63231.01</v>
      </c>
      <c r="AB259">
        <v>0</v>
      </c>
      <c r="AC259">
        <v>0</v>
      </c>
      <c r="AD259">
        <v>0</v>
      </c>
      <c r="AE259">
        <v>10315.01</v>
      </c>
      <c r="AF259">
        <v>0</v>
      </c>
      <c r="AG259">
        <v>0</v>
      </c>
      <c r="AH259">
        <v>0</v>
      </c>
      <c r="AI259">
        <v>6.13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6.0000000000000001E-3</v>
      </c>
      <c r="AU259" t="s">
        <v>3</v>
      </c>
      <c r="AV259">
        <v>0</v>
      </c>
      <c r="AW259">
        <v>2</v>
      </c>
      <c r="AX259">
        <v>39478078</v>
      </c>
      <c r="AY259">
        <v>1</v>
      </c>
      <c r="AZ259">
        <v>0</v>
      </c>
      <c r="BA259">
        <v>245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Y259*Source!I97</f>
        <v>4.8000000000000004E-3</v>
      </c>
      <c r="CY259">
        <f t="shared" si="33"/>
        <v>63231.01</v>
      </c>
      <c r="CZ259">
        <f t="shared" si="34"/>
        <v>10315.01</v>
      </c>
      <c r="DA259">
        <f t="shared" si="35"/>
        <v>6.13</v>
      </c>
      <c r="DB259">
        <v>0</v>
      </c>
    </row>
    <row r="260" spans="1:106" x14ac:dyDescent="0.2">
      <c r="A260">
        <f>ROW(Source!A97)</f>
        <v>97</v>
      </c>
      <c r="B260">
        <v>39476960</v>
      </c>
      <c r="C260">
        <v>39478067</v>
      </c>
      <c r="D260">
        <v>36804447</v>
      </c>
      <c r="E260">
        <v>1</v>
      </c>
      <c r="F260">
        <v>1</v>
      </c>
      <c r="G260">
        <v>1</v>
      </c>
      <c r="H260">
        <v>3</v>
      </c>
      <c r="I260" t="s">
        <v>1081</v>
      </c>
      <c r="J260" t="s">
        <v>1082</v>
      </c>
      <c r="K260" t="s">
        <v>1083</v>
      </c>
      <c r="L260">
        <v>1348</v>
      </c>
      <c r="N260">
        <v>1009</v>
      </c>
      <c r="O260" t="s">
        <v>34</v>
      </c>
      <c r="P260" t="s">
        <v>34</v>
      </c>
      <c r="Q260">
        <v>1000</v>
      </c>
      <c r="W260">
        <v>0</v>
      </c>
      <c r="X260">
        <v>-437906794</v>
      </c>
      <c r="Y260">
        <v>3.0000000000000001E-5</v>
      </c>
      <c r="AA260">
        <v>55415.26</v>
      </c>
      <c r="AB260">
        <v>0</v>
      </c>
      <c r="AC260">
        <v>0</v>
      </c>
      <c r="AD260">
        <v>0</v>
      </c>
      <c r="AE260">
        <v>9040.01</v>
      </c>
      <c r="AF260">
        <v>0</v>
      </c>
      <c r="AG260">
        <v>0</v>
      </c>
      <c r="AH260">
        <v>0</v>
      </c>
      <c r="AI260">
        <v>6.13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3.0000000000000001E-5</v>
      </c>
      <c r="AU260" t="s">
        <v>3</v>
      </c>
      <c r="AV260">
        <v>0</v>
      </c>
      <c r="AW260">
        <v>2</v>
      </c>
      <c r="AX260">
        <v>39478079</v>
      </c>
      <c r="AY260">
        <v>1</v>
      </c>
      <c r="AZ260">
        <v>0</v>
      </c>
      <c r="BA260">
        <v>246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Y260*Source!I97</f>
        <v>2.4000000000000001E-5</v>
      </c>
      <c r="CY260">
        <f t="shared" si="33"/>
        <v>55415.26</v>
      </c>
      <c r="CZ260">
        <f t="shared" si="34"/>
        <v>9040.01</v>
      </c>
      <c r="DA260">
        <f t="shared" si="35"/>
        <v>6.13</v>
      </c>
      <c r="DB260">
        <v>0</v>
      </c>
    </row>
    <row r="261" spans="1:106" x14ac:dyDescent="0.2">
      <c r="A261">
        <f>ROW(Source!A97)</f>
        <v>97</v>
      </c>
      <c r="B261">
        <v>39476960</v>
      </c>
      <c r="C261">
        <v>39478067</v>
      </c>
      <c r="D261">
        <v>36804545</v>
      </c>
      <c r="E261">
        <v>1</v>
      </c>
      <c r="F261">
        <v>1</v>
      </c>
      <c r="G261">
        <v>1</v>
      </c>
      <c r="H261">
        <v>3</v>
      </c>
      <c r="I261" t="s">
        <v>846</v>
      </c>
      <c r="J261" t="s">
        <v>847</v>
      </c>
      <c r="K261" t="s">
        <v>848</v>
      </c>
      <c r="L261">
        <v>1348</v>
      </c>
      <c r="N261">
        <v>1009</v>
      </c>
      <c r="O261" t="s">
        <v>34</v>
      </c>
      <c r="P261" t="s">
        <v>34</v>
      </c>
      <c r="Q261">
        <v>1000</v>
      </c>
      <c r="W261">
        <v>0</v>
      </c>
      <c r="X261">
        <v>1174701286</v>
      </c>
      <c r="Y261">
        <v>1.0000000000000001E-5</v>
      </c>
      <c r="AA261">
        <v>73425.14</v>
      </c>
      <c r="AB261">
        <v>0</v>
      </c>
      <c r="AC261">
        <v>0</v>
      </c>
      <c r="AD261">
        <v>0</v>
      </c>
      <c r="AE261">
        <v>11978</v>
      </c>
      <c r="AF261">
        <v>0</v>
      </c>
      <c r="AG261">
        <v>0</v>
      </c>
      <c r="AH261">
        <v>0</v>
      </c>
      <c r="AI261">
        <v>6.13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1.0000000000000001E-5</v>
      </c>
      <c r="AU261" t="s">
        <v>3</v>
      </c>
      <c r="AV261">
        <v>0</v>
      </c>
      <c r="AW261">
        <v>2</v>
      </c>
      <c r="AX261">
        <v>39478080</v>
      </c>
      <c r="AY261">
        <v>1</v>
      </c>
      <c r="AZ261">
        <v>0</v>
      </c>
      <c r="BA261">
        <v>247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Y261*Source!I97</f>
        <v>8.0000000000000013E-6</v>
      </c>
      <c r="CY261">
        <f t="shared" si="33"/>
        <v>73425.14</v>
      </c>
      <c r="CZ261">
        <f t="shared" si="34"/>
        <v>11978</v>
      </c>
      <c r="DA261">
        <f t="shared" si="35"/>
        <v>6.13</v>
      </c>
      <c r="DB261">
        <v>0</v>
      </c>
    </row>
    <row r="262" spans="1:106" x14ac:dyDescent="0.2">
      <c r="A262">
        <f>ROW(Source!A97)</f>
        <v>97</v>
      </c>
      <c r="B262">
        <v>39476960</v>
      </c>
      <c r="C262">
        <v>39478067</v>
      </c>
      <c r="D262">
        <v>36805527</v>
      </c>
      <c r="E262">
        <v>1</v>
      </c>
      <c r="F262">
        <v>1</v>
      </c>
      <c r="G262">
        <v>1</v>
      </c>
      <c r="H262">
        <v>3</v>
      </c>
      <c r="I262" t="s">
        <v>849</v>
      </c>
      <c r="J262" t="s">
        <v>850</v>
      </c>
      <c r="K262" t="s">
        <v>851</v>
      </c>
      <c r="L262">
        <v>1348</v>
      </c>
      <c r="N262">
        <v>1009</v>
      </c>
      <c r="O262" t="s">
        <v>34</v>
      </c>
      <c r="P262" t="s">
        <v>34</v>
      </c>
      <c r="Q262">
        <v>1000</v>
      </c>
      <c r="W262">
        <v>0</v>
      </c>
      <c r="X262">
        <v>-2116243625</v>
      </c>
      <c r="Y262">
        <v>1E-4</v>
      </c>
      <c r="AA262">
        <v>232327</v>
      </c>
      <c r="AB262">
        <v>0</v>
      </c>
      <c r="AC262">
        <v>0</v>
      </c>
      <c r="AD262">
        <v>0</v>
      </c>
      <c r="AE262">
        <v>37900</v>
      </c>
      <c r="AF262">
        <v>0</v>
      </c>
      <c r="AG262">
        <v>0</v>
      </c>
      <c r="AH262">
        <v>0</v>
      </c>
      <c r="AI262">
        <v>6.13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1E-4</v>
      </c>
      <c r="AU262" t="s">
        <v>3</v>
      </c>
      <c r="AV262">
        <v>0</v>
      </c>
      <c r="AW262">
        <v>2</v>
      </c>
      <c r="AX262">
        <v>39478081</v>
      </c>
      <c r="AY262">
        <v>1</v>
      </c>
      <c r="AZ262">
        <v>0</v>
      </c>
      <c r="BA262">
        <v>248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Y262*Source!I97</f>
        <v>8.0000000000000007E-5</v>
      </c>
      <c r="CY262">
        <f t="shared" si="33"/>
        <v>232327</v>
      </c>
      <c r="CZ262">
        <f t="shared" si="34"/>
        <v>37900</v>
      </c>
      <c r="DA262">
        <f t="shared" si="35"/>
        <v>6.13</v>
      </c>
      <c r="DB262">
        <v>0</v>
      </c>
    </row>
    <row r="263" spans="1:106" x14ac:dyDescent="0.2">
      <c r="A263">
        <f>ROW(Source!A97)</f>
        <v>97</v>
      </c>
      <c r="B263">
        <v>39476960</v>
      </c>
      <c r="C263">
        <v>39478067</v>
      </c>
      <c r="D263">
        <v>36822565</v>
      </c>
      <c r="E263">
        <v>1</v>
      </c>
      <c r="F263">
        <v>1</v>
      </c>
      <c r="G263">
        <v>1</v>
      </c>
      <c r="H263">
        <v>3</v>
      </c>
      <c r="I263" t="s">
        <v>310</v>
      </c>
      <c r="J263" t="s">
        <v>312</v>
      </c>
      <c r="K263" t="s">
        <v>311</v>
      </c>
      <c r="L263">
        <v>1348</v>
      </c>
      <c r="N263">
        <v>1009</v>
      </c>
      <c r="O263" t="s">
        <v>34</v>
      </c>
      <c r="P263" t="s">
        <v>34</v>
      </c>
      <c r="Q263">
        <v>1000</v>
      </c>
      <c r="W263">
        <v>0</v>
      </c>
      <c r="X263">
        <v>918967682</v>
      </c>
      <c r="Y263">
        <v>1</v>
      </c>
      <c r="AA263">
        <v>46410.23</v>
      </c>
      <c r="AB263">
        <v>0</v>
      </c>
      <c r="AC263">
        <v>0</v>
      </c>
      <c r="AD263">
        <v>0</v>
      </c>
      <c r="AE263">
        <v>7571</v>
      </c>
      <c r="AF263">
        <v>0</v>
      </c>
      <c r="AG263">
        <v>0</v>
      </c>
      <c r="AH263">
        <v>0</v>
      </c>
      <c r="AI263">
        <v>6.13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3</v>
      </c>
      <c r="AT263">
        <v>1</v>
      </c>
      <c r="AU263" t="s">
        <v>3</v>
      </c>
      <c r="AV263">
        <v>0</v>
      </c>
      <c r="AW263">
        <v>1</v>
      </c>
      <c r="AX263">
        <v>-1</v>
      </c>
      <c r="AY263">
        <v>0</v>
      </c>
      <c r="AZ263">
        <v>0</v>
      </c>
      <c r="BA263" t="s">
        <v>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Y263*Source!I97</f>
        <v>0.8</v>
      </c>
      <c r="CY263">
        <f t="shared" si="33"/>
        <v>46410.23</v>
      </c>
      <c r="CZ263">
        <f t="shared" si="34"/>
        <v>7571</v>
      </c>
      <c r="DA263">
        <f t="shared" si="35"/>
        <v>6.13</v>
      </c>
      <c r="DB263">
        <v>0</v>
      </c>
    </row>
    <row r="264" spans="1:106" x14ac:dyDescent="0.2">
      <c r="A264">
        <f>ROW(Source!A97)</f>
        <v>97</v>
      </c>
      <c r="B264">
        <v>39476960</v>
      </c>
      <c r="C264">
        <v>39478067</v>
      </c>
      <c r="D264">
        <v>36825287</v>
      </c>
      <c r="E264">
        <v>1</v>
      </c>
      <c r="F264">
        <v>1</v>
      </c>
      <c r="G264">
        <v>1</v>
      </c>
      <c r="H264">
        <v>3</v>
      </c>
      <c r="I264" t="s">
        <v>855</v>
      </c>
      <c r="J264" t="s">
        <v>856</v>
      </c>
      <c r="K264" t="s">
        <v>857</v>
      </c>
      <c r="L264">
        <v>1302</v>
      </c>
      <c r="N264">
        <v>1003</v>
      </c>
      <c r="O264" t="s">
        <v>466</v>
      </c>
      <c r="P264" t="s">
        <v>466</v>
      </c>
      <c r="Q264">
        <v>10</v>
      </c>
      <c r="W264">
        <v>0</v>
      </c>
      <c r="X264">
        <v>-1640127157</v>
      </c>
      <c r="Y264">
        <v>1.8700000000000001E-2</v>
      </c>
      <c r="AA264">
        <v>307.97000000000003</v>
      </c>
      <c r="AB264">
        <v>0</v>
      </c>
      <c r="AC264">
        <v>0</v>
      </c>
      <c r="AD264">
        <v>0</v>
      </c>
      <c r="AE264">
        <v>50.24</v>
      </c>
      <c r="AF264">
        <v>0</v>
      </c>
      <c r="AG264">
        <v>0</v>
      </c>
      <c r="AH264">
        <v>0</v>
      </c>
      <c r="AI264">
        <v>6.13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1.8700000000000001E-2</v>
      </c>
      <c r="AU264" t="s">
        <v>3</v>
      </c>
      <c r="AV264">
        <v>0</v>
      </c>
      <c r="AW264">
        <v>2</v>
      </c>
      <c r="AX264">
        <v>39478083</v>
      </c>
      <c r="AY264">
        <v>1</v>
      </c>
      <c r="AZ264">
        <v>0</v>
      </c>
      <c r="BA264">
        <v>250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Y264*Source!I97</f>
        <v>1.4960000000000001E-2</v>
      </c>
      <c r="CY264">
        <f t="shared" si="33"/>
        <v>307.97000000000003</v>
      </c>
      <c r="CZ264">
        <f t="shared" si="34"/>
        <v>50.24</v>
      </c>
      <c r="DA264">
        <f t="shared" si="35"/>
        <v>6.13</v>
      </c>
      <c r="DB264">
        <v>0</v>
      </c>
    </row>
    <row r="265" spans="1:106" x14ac:dyDescent="0.2">
      <c r="A265">
        <f>ROW(Source!A97)</f>
        <v>97</v>
      </c>
      <c r="B265">
        <v>39476960</v>
      </c>
      <c r="C265">
        <v>39478067</v>
      </c>
      <c r="D265">
        <v>36825646</v>
      </c>
      <c r="E265">
        <v>1</v>
      </c>
      <c r="F265">
        <v>1</v>
      </c>
      <c r="G265">
        <v>1</v>
      </c>
      <c r="H265">
        <v>3</v>
      </c>
      <c r="I265" t="s">
        <v>858</v>
      </c>
      <c r="J265" t="s">
        <v>859</v>
      </c>
      <c r="K265" t="s">
        <v>860</v>
      </c>
      <c r="L265">
        <v>1348</v>
      </c>
      <c r="N265">
        <v>1009</v>
      </c>
      <c r="O265" t="s">
        <v>34</v>
      </c>
      <c r="P265" t="s">
        <v>34</v>
      </c>
      <c r="Q265">
        <v>1000</v>
      </c>
      <c r="W265">
        <v>0</v>
      </c>
      <c r="X265">
        <v>-1396314973</v>
      </c>
      <c r="Y265">
        <v>3.0000000000000001E-5</v>
      </c>
      <c r="AA265">
        <v>27310.38</v>
      </c>
      <c r="AB265">
        <v>0</v>
      </c>
      <c r="AC265">
        <v>0</v>
      </c>
      <c r="AD265">
        <v>0</v>
      </c>
      <c r="AE265">
        <v>4455.2</v>
      </c>
      <c r="AF265">
        <v>0</v>
      </c>
      <c r="AG265">
        <v>0</v>
      </c>
      <c r="AH265">
        <v>0</v>
      </c>
      <c r="AI265">
        <v>6.13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3.0000000000000001E-5</v>
      </c>
      <c r="AU265" t="s">
        <v>3</v>
      </c>
      <c r="AV265">
        <v>0</v>
      </c>
      <c r="AW265">
        <v>2</v>
      </c>
      <c r="AX265">
        <v>39478084</v>
      </c>
      <c r="AY265">
        <v>1</v>
      </c>
      <c r="AZ265">
        <v>0</v>
      </c>
      <c r="BA265">
        <v>251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Y265*Source!I97</f>
        <v>2.4000000000000001E-5</v>
      </c>
      <c r="CY265">
        <f t="shared" si="33"/>
        <v>27310.38</v>
      </c>
      <c r="CZ265">
        <f t="shared" si="34"/>
        <v>4455.2</v>
      </c>
      <c r="DA265">
        <f t="shared" si="35"/>
        <v>6.13</v>
      </c>
      <c r="DB265">
        <v>0</v>
      </c>
    </row>
    <row r="266" spans="1:106" x14ac:dyDescent="0.2">
      <c r="A266">
        <f>ROW(Source!A97)</f>
        <v>97</v>
      </c>
      <c r="B266">
        <v>39476960</v>
      </c>
      <c r="C266">
        <v>39478067</v>
      </c>
      <c r="D266">
        <v>36826406</v>
      </c>
      <c r="E266">
        <v>1</v>
      </c>
      <c r="F266">
        <v>1</v>
      </c>
      <c r="G266">
        <v>1</v>
      </c>
      <c r="H266">
        <v>3</v>
      </c>
      <c r="I266" t="s">
        <v>861</v>
      </c>
      <c r="J266" t="s">
        <v>862</v>
      </c>
      <c r="K266" t="s">
        <v>863</v>
      </c>
      <c r="L266">
        <v>1348</v>
      </c>
      <c r="N266">
        <v>1009</v>
      </c>
      <c r="O266" t="s">
        <v>34</v>
      </c>
      <c r="P266" t="s">
        <v>34</v>
      </c>
      <c r="Q266">
        <v>1000</v>
      </c>
      <c r="W266">
        <v>0</v>
      </c>
      <c r="X266">
        <v>900832145</v>
      </c>
      <c r="Y266">
        <v>1.9400000000000001E-3</v>
      </c>
      <c r="AA266">
        <v>30159.599999999999</v>
      </c>
      <c r="AB266">
        <v>0</v>
      </c>
      <c r="AC266">
        <v>0</v>
      </c>
      <c r="AD266">
        <v>0</v>
      </c>
      <c r="AE266">
        <v>4920</v>
      </c>
      <c r="AF266">
        <v>0</v>
      </c>
      <c r="AG266">
        <v>0</v>
      </c>
      <c r="AH266">
        <v>0</v>
      </c>
      <c r="AI266">
        <v>6.13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1.9400000000000001E-3</v>
      </c>
      <c r="AU266" t="s">
        <v>3</v>
      </c>
      <c r="AV266">
        <v>0</v>
      </c>
      <c r="AW266">
        <v>2</v>
      </c>
      <c r="AX266">
        <v>39478085</v>
      </c>
      <c r="AY266">
        <v>1</v>
      </c>
      <c r="AZ266">
        <v>0</v>
      </c>
      <c r="BA266">
        <v>252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Y266*Source!I97</f>
        <v>1.5520000000000002E-3</v>
      </c>
      <c r="CY266">
        <f t="shared" si="33"/>
        <v>30159.599999999999</v>
      </c>
      <c r="CZ266">
        <f t="shared" si="34"/>
        <v>4920</v>
      </c>
      <c r="DA266">
        <f t="shared" si="35"/>
        <v>6.13</v>
      </c>
      <c r="DB266">
        <v>0</v>
      </c>
    </row>
    <row r="267" spans="1:106" x14ac:dyDescent="0.2">
      <c r="A267">
        <f>ROW(Source!A97)</f>
        <v>97</v>
      </c>
      <c r="B267">
        <v>39476960</v>
      </c>
      <c r="C267">
        <v>39478067</v>
      </c>
      <c r="D267">
        <v>36830313</v>
      </c>
      <c r="E267">
        <v>1</v>
      </c>
      <c r="F267">
        <v>1</v>
      </c>
      <c r="G267">
        <v>1</v>
      </c>
      <c r="H267">
        <v>3</v>
      </c>
      <c r="I267" t="s">
        <v>864</v>
      </c>
      <c r="J267" t="s">
        <v>865</v>
      </c>
      <c r="K267" t="s">
        <v>866</v>
      </c>
      <c r="L267">
        <v>1339</v>
      </c>
      <c r="N267">
        <v>1007</v>
      </c>
      <c r="O267" t="s">
        <v>25</v>
      </c>
      <c r="P267" t="s">
        <v>25</v>
      </c>
      <c r="Q267">
        <v>1</v>
      </c>
      <c r="W267">
        <v>0</v>
      </c>
      <c r="X267">
        <v>1283004816</v>
      </c>
      <c r="Y267">
        <v>5.0000000000000001E-4</v>
      </c>
      <c r="AA267">
        <v>10421</v>
      </c>
      <c r="AB267">
        <v>0</v>
      </c>
      <c r="AC267">
        <v>0</v>
      </c>
      <c r="AD267">
        <v>0</v>
      </c>
      <c r="AE267">
        <v>1700</v>
      </c>
      <c r="AF267">
        <v>0</v>
      </c>
      <c r="AG267">
        <v>0</v>
      </c>
      <c r="AH267">
        <v>0</v>
      </c>
      <c r="AI267">
        <v>6.13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5.0000000000000001E-4</v>
      </c>
      <c r="AU267" t="s">
        <v>3</v>
      </c>
      <c r="AV267">
        <v>0</v>
      </c>
      <c r="AW267">
        <v>2</v>
      </c>
      <c r="AX267">
        <v>39478086</v>
      </c>
      <c r="AY267">
        <v>1</v>
      </c>
      <c r="AZ267">
        <v>0</v>
      </c>
      <c r="BA267">
        <v>253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Y267*Source!I97</f>
        <v>4.0000000000000002E-4</v>
      </c>
      <c r="CY267">
        <f t="shared" si="33"/>
        <v>10421</v>
      </c>
      <c r="CZ267">
        <f t="shared" si="34"/>
        <v>1700</v>
      </c>
      <c r="DA267">
        <f t="shared" si="35"/>
        <v>6.13</v>
      </c>
      <c r="DB267">
        <v>0</v>
      </c>
    </row>
    <row r="268" spans="1:106" x14ac:dyDescent="0.2">
      <c r="A268">
        <f>ROW(Source!A97)</f>
        <v>97</v>
      </c>
      <c r="B268">
        <v>39476960</v>
      </c>
      <c r="C268">
        <v>39478067</v>
      </c>
      <c r="D268">
        <v>36837948</v>
      </c>
      <c r="E268">
        <v>1</v>
      </c>
      <c r="F268">
        <v>1</v>
      </c>
      <c r="G268">
        <v>1</v>
      </c>
      <c r="H268">
        <v>3</v>
      </c>
      <c r="I268" t="s">
        <v>867</v>
      </c>
      <c r="J268" t="s">
        <v>868</v>
      </c>
      <c r="K268" t="s">
        <v>869</v>
      </c>
      <c r="L268">
        <v>1348</v>
      </c>
      <c r="N268">
        <v>1009</v>
      </c>
      <c r="O268" t="s">
        <v>34</v>
      </c>
      <c r="P268" t="s">
        <v>34</v>
      </c>
      <c r="Q268">
        <v>1000</v>
      </c>
      <c r="W268">
        <v>0</v>
      </c>
      <c r="X268">
        <v>-1655298345</v>
      </c>
      <c r="Y268">
        <v>3.1E-4</v>
      </c>
      <c r="AA268">
        <v>95750.6</v>
      </c>
      <c r="AB268">
        <v>0</v>
      </c>
      <c r="AC268">
        <v>0</v>
      </c>
      <c r="AD268">
        <v>0</v>
      </c>
      <c r="AE268">
        <v>15620</v>
      </c>
      <c r="AF268">
        <v>0</v>
      </c>
      <c r="AG268">
        <v>0</v>
      </c>
      <c r="AH268">
        <v>0</v>
      </c>
      <c r="AI268">
        <v>6.13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3.1E-4</v>
      </c>
      <c r="AU268" t="s">
        <v>3</v>
      </c>
      <c r="AV268">
        <v>0</v>
      </c>
      <c r="AW268">
        <v>2</v>
      </c>
      <c r="AX268">
        <v>39478087</v>
      </c>
      <c r="AY268">
        <v>1</v>
      </c>
      <c r="AZ268">
        <v>0</v>
      </c>
      <c r="BA268">
        <v>254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Y268*Source!I97</f>
        <v>2.4800000000000001E-4</v>
      </c>
      <c r="CY268">
        <f t="shared" si="33"/>
        <v>95750.6</v>
      </c>
      <c r="CZ268">
        <f t="shared" si="34"/>
        <v>15620</v>
      </c>
      <c r="DA268">
        <f t="shared" si="35"/>
        <v>6.13</v>
      </c>
      <c r="DB268">
        <v>0</v>
      </c>
    </row>
    <row r="269" spans="1:106" x14ac:dyDescent="0.2">
      <c r="A269">
        <f>ROW(Source!A97)</f>
        <v>97</v>
      </c>
      <c r="B269">
        <v>39476960</v>
      </c>
      <c r="C269">
        <v>39478067</v>
      </c>
      <c r="D269">
        <v>36839146</v>
      </c>
      <c r="E269">
        <v>1</v>
      </c>
      <c r="F269">
        <v>1</v>
      </c>
      <c r="G269">
        <v>1</v>
      </c>
      <c r="H269">
        <v>3</v>
      </c>
      <c r="I269" t="s">
        <v>870</v>
      </c>
      <c r="J269" t="s">
        <v>871</v>
      </c>
      <c r="K269" t="s">
        <v>872</v>
      </c>
      <c r="L269">
        <v>1348</v>
      </c>
      <c r="N269">
        <v>1009</v>
      </c>
      <c r="O269" t="s">
        <v>34</v>
      </c>
      <c r="P269" t="s">
        <v>34</v>
      </c>
      <c r="Q269">
        <v>1000</v>
      </c>
      <c r="W269">
        <v>0</v>
      </c>
      <c r="X269">
        <v>-639604785</v>
      </c>
      <c r="Y269">
        <v>5.9999999999999995E-4</v>
      </c>
      <c r="AA269">
        <v>57744.6</v>
      </c>
      <c r="AB269">
        <v>0</v>
      </c>
      <c r="AC269">
        <v>0</v>
      </c>
      <c r="AD269">
        <v>0</v>
      </c>
      <c r="AE269">
        <v>9420</v>
      </c>
      <c r="AF269">
        <v>0</v>
      </c>
      <c r="AG269">
        <v>0</v>
      </c>
      <c r="AH269">
        <v>0</v>
      </c>
      <c r="AI269">
        <v>6.13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5.9999999999999995E-4</v>
      </c>
      <c r="AU269" t="s">
        <v>3</v>
      </c>
      <c r="AV269">
        <v>0</v>
      </c>
      <c r="AW269">
        <v>2</v>
      </c>
      <c r="AX269">
        <v>39478088</v>
      </c>
      <c r="AY269">
        <v>1</v>
      </c>
      <c r="AZ269">
        <v>0</v>
      </c>
      <c r="BA269">
        <v>255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Y269*Source!I97</f>
        <v>4.7999999999999996E-4</v>
      </c>
      <c r="CY269">
        <f t="shared" si="33"/>
        <v>57744.6</v>
      </c>
      <c r="CZ269">
        <f t="shared" si="34"/>
        <v>9420</v>
      </c>
      <c r="DA269">
        <f t="shared" si="35"/>
        <v>6.13</v>
      </c>
      <c r="DB269">
        <v>0</v>
      </c>
    </row>
    <row r="270" spans="1:106" x14ac:dyDescent="0.2">
      <c r="A270">
        <f>ROW(Source!A133)</f>
        <v>133</v>
      </c>
      <c r="B270">
        <v>39476960</v>
      </c>
      <c r="C270">
        <v>39478298</v>
      </c>
      <c r="D270">
        <v>37064878</v>
      </c>
      <c r="E270">
        <v>1</v>
      </c>
      <c r="F270">
        <v>1</v>
      </c>
      <c r="G270">
        <v>1</v>
      </c>
      <c r="H270">
        <v>1</v>
      </c>
      <c r="I270" t="s">
        <v>820</v>
      </c>
      <c r="J270" t="s">
        <v>3</v>
      </c>
      <c r="K270" t="s">
        <v>821</v>
      </c>
      <c r="L270">
        <v>1191</v>
      </c>
      <c r="N270">
        <v>1013</v>
      </c>
      <c r="O270" t="s">
        <v>796</v>
      </c>
      <c r="P270" t="s">
        <v>796</v>
      </c>
      <c r="Q270">
        <v>1</v>
      </c>
      <c r="W270">
        <v>0</v>
      </c>
      <c r="X270">
        <v>-1081351934</v>
      </c>
      <c r="Y270">
        <v>7.548</v>
      </c>
      <c r="AA270">
        <v>0</v>
      </c>
      <c r="AB270">
        <v>0</v>
      </c>
      <c r="AC270">
        <v>0</v>
      </c>
      <c r="AD270">
        <v>57.62</v>
      </c>
      <c r="AE270">
        <v>0</v>
      </c>
      <c r="AF270">
        <v>0</v>
      </c>
      <c r="AG270">
        <v>0</v>
      </c>
      <c r="AH270">
        <v>9.4</v>
      </c>
      <c r="AI270">
        <v>1</v>
      </c>
      <c r="AJ270">
        <v>1</v>
      </c>
      <c r="AK270">
        <v>1</v>
      </c>
      <c r="AL270">
        <v>6.13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6.29</v>
      </c>
      <c r="AU270" t="s">
        <v>371</v>
      </c>
      <c r="AV270">
        <v>1</v>
      </c>
      <c r="AW270">
        <v>2</v>
      </c>
      <c r="AX270">
        <v>39478299</v>
      </c>
      <c r="AY270">
        <v>1</v>
      </c>
      <c r="AZ270">
        <v>0</v>
      </c>
      <c r="BA270">
        <v>256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Y270*Source!I133</f>
        <v>2.2643999999999997</v>
      </c>
      <c r="CY270">
        <f>AD270</f>
        <v>57.62</v>
      </c>
      <c r="CZ270">
        <f>AH270</f>
        <v>9.4</v>
      </c>
      <c r="DA270">
        <f>AL270</f>
        <v>6.13</v>
      </c>
      <c r="DB270">
        <v>0</v>
      </c>
    </row>
    <row r="271" spans="1:106" x14ac:dyDescent="0.2">
      <c r="A271">
        <f>ROW(Source!A133)</f>
        <v>133</v>
      </c>
      <c r="B271">
        <v>39476960</v>
      </c>
      <c r="C271">
        <v>39478298</v>
      </c>
      <c r="D271">
        <v>37064876</v>
      </c>
      <c r="E271">
        <v>1</v>
      </c>
      <c r="F271">
        <v>1</v>
      </c>
      <c r="G271">
        <v>1</v>
      </c>
      <c r="H271">
        <v>1</v>
      </c>
      <c r="I271" t="s">
        <v>797</v>
      </c>
      <c r="J271" t="s">
        <v>3</v>
      </c>
      <c r="K271" t="s">
        <v>798</v>
      </c>
      <c r="L271">
        <v>1191</v>
      </c>
      <c r="N271">
        <v>1013</v>
      </c>
      <c r="O271" t="s">
        <v>796</v>
      </c>
      <c r="P271" t="s">
        <v>796</v>
      </c>
      <c r="Q271">
        <v>1</v>
      </c>
      <c r="W271">
        <v>0</v>
      </c>
      <c r="X271">
        <v>-1417349443</v>
      </c>
      <c r="Y271">
        <v>0.06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6.13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0.06</v>
      </c>
      <c r="AU271" t="s">
        <v>3</v>
      </c>
      <c r="AV271">
        <v>2</v>
      </c>
      <c r="AW271">
        <v>2</v>
      </c>
      <c r="AX271">
        <v>39478300</v>
      </c>
      <c r="AY271">
        <v>1</v>
      </c>
      <c r="AZ271">
        <v>2048</v>
      </c>
      <c r="BA271">
        <v>257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Y271*Source!I133</f>
        <v>1.7999999999999999E-2</v>
      </c>
      <c r="CY271">
        <f>AD271</f>
        <v>0</v>
      </c>
      <c r="CZ271">
        <f>AH271</f>
        <v>0</v>
      </c>
      <c r="DA271">
        <f>AL271</f>
        <v>1</v>
      </c>
      <c r="DB271">
        <v>0</v>
      </c>
    </row>
    <row r="272" spans="1:106" x14ac:dyDescent="0.2">
      <c r="A272">
        <f>ROW(Source!A133)</f>
        <v>133</v>
      </c>
      <c r="B272">
        <v>39476960</v>
      </c>
      <c r="C272">
        <v>39478298</v>
      </c>
      <c r="D272">
        <v>36882159</v>
      </c>
      <c r="E272">
        <v>1</v>
      </c>
      <c r="F272">
        <v>1</v>
      </c>
      <c r="G272">
        <v>1</v>
      </c>
      <c r="H272">
        <v>2</v>
      </c>
      <c r="I272" t="s">
        <v>825</v>
      </c>
      <c r="J272" t="s">
        <v>826</v>
      </c>
      <c r="K272" t="s">
        <v>827</v>
      </c>
      <c r="L272">
        <v>1368</v>
      </c>
      <c r="N272">
        <v>1011</v>
      </c>
      <c r="O272" t="s">
        <v>802</v>
      </c>
      <c r="P272" t="s">
        <v>802</v>
      </c>
      <c r="Q272">
        <v>1</v>
      </c>
      <c r="W272">
        <v>0</v>
      </c>
      <c r="X272">
        <v>-1718674368</v>
      </c>
      <c r="Y272">
        <v>3.5999999999999997E-2</v>
      </c>
      <c r="AA272">
        <v>0</v>
      </c>
      <c r="AB272">
        <v>686.5</v>
      </c>
      <c r="AC272">
        <v>13.5</v>
      </c>
      <c r="AD272">
        <v>0</v>
      </c>
      <c r="AE272">
        <v>0</v>
      </c>
      <c r="AF272">
        <v>111.99</v>
      </c>
      <c r="AG272">
        <v>13.5</v>
      </c>
      <c r="AH272">
        <v>0</v>
      </c>
      <c r="AI272">
        <v>1</v>
      </c>
      <c r="AJ272">
        <v>6.13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0.03</v>
      </c>
      <c r="AU272" t="s">
        <v>371</v>
      </c>
      <c r="AV272">
        <v>0</v>
      </c>
      <c r="AW272">
        <v>2</v>
      </c>
      <c r="AX272">
        <v>39478301</v>
      </c>
      <c r="AY272">
        <v>1</v>
      </c>
      <c r="AZ272">
        <v>0</v>
      </c>
      <c r="BA272">
        <v>258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Y272*Source!I133</f>
        <v>1.0799999999999999E-2</v>
      </c>
      <c r="CY272">
        <f>AB272</f>
        <v>686.5</v>
      </c>
      <c r="CZ272">
        <f>AF272</f>
        <v>111.99</v>
      </c>
      <c r="DA272">
        <f>AJ272</f>
        <v>6.13</v>
      </c>
      <c r="DB272">
        <v>0</v>
      </c>
    </row>
    <row r="273" spans="1:106" x14ac:dyDescent="0.2">
      <c r="A273">
        <f>ROW(Source!A133)</f>
        <v>133</v>
      </c>
      <c r="B273">
        <v>39476960</v>
      </c>
      <c r="C273">
        <v>39478298</v>
      </c>
      <c r="D273">
        <v>36883554</v>
      </c>
      <c r="E273">
        <v>1</v>
      </c>
      <c r="F273">
        <v>1</v>
      </c>
      <c r="G273">
        <v>1</v>
      </c>
      <c r="H273">
        <v>2</v>
      </c>
      <c r="I273" t="s">
        <v>834</v>
      </c>
      <c r="J273" t="s">
        <v>835</v>
      </c>
      <c r="K273" t="s">
        <v>836</v>
      </c>
      <c r="L273">
        <v>1368</v>
      </c>
      <c r="N273">
        <v>1011</v>
      </c>
      <c r="O273" t="s">
        <v>802</v>
      </c>
      <c r="P273" t="s">
        <v>802</v>
      </c>
      <c r="Q273">
        <v>1</v>
      </c>
      <c r="W273">
        <v>0</v>
      </c>
      <c r="X273">
        <v>1372534845</v>
      </c>
      <c r="Y273">
        <v>3.5999999999999997E-2</v>
      </c>
      <c r="AA273">
        <v>0</v>
      </c>
      <c r="AB273">
        <v>402.8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6.13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0.03</v>
      </c>
      <c r="AU273" t="s">
        <v>371</v>
      </c>
      <c r="AV273">
        <v>0</v>
      </c>
      <c r="AW273">
        <v>2</v>
      </c>
      <c r="AX273">
        <v>39478302</v>
      </c>
      <c r="AY273">
        <v>1</v>
      </c>
      <c r="AZ273">
        <v>0</v>
      </c>
      <c r="BA273">
        <v>259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Y273*Source!I133</f>
        <v>1.0799999999999999E-2</v>
      </c>
      <c r="CY273">
        <f>AB273</f>
        <v>402.8</v>
      </c>
      <c r="CZ273">
        <f>AF273</f>
        <v>65.709999999999994</v>
      </c>
      <c r="DA273">
        <f>AJ273</f>
        <v>6.13</v>
      </c>
      <c r="DB273">
        <v>0</v>
      </c>
    </row>
    <row r="274" spans="1:106" x14ac:dyDescent="0.2">
      <c r="A274">
        <f>ROW(Source!A133)</f>
        <v>133</v>
      </c>
      <c r="B274">
        <v>39476960</v>
      </c>
      <c r="C274">
        <v>39478298</v>
      </c>
      <c r="D274">
        <v>36802094</v>
      </c>
      <c r="E274">
        <v>1</v>
      </c>
      <c r="F274">
        <v>1</v>
      </c>
      <c r="G274">
        <v>1</v>
      </c>
      <c r="H274">
        <v>3</v>
      </c>
      <c r="I274" t="s">
        <v>1084</v>
      </c>
      <c r="J274" t="s">
        <v>1085</v>
      </c>
      <c r="K274" t="s">
        <v>1086</v>
      </c>
      <c r="L274">
        <v>1346</v>
      </c>
      <c r="N274">
        <v>1009</v>
      </c>
      <c r="O274" t="s">
        <v>217</v>
      </c>
      <c r="P274" t="s">
        <v>217</v>
      </c>
      <c r="Q274">
        <v>1</v>
      </c>
      <c r="W274">
        <v>0</v>
      </c>
      <c r="X274">
        <v>-1088866022</v>
      </c>
      <c r="Y274">
        <v>0.32</v>
      </c>
      <c r="AA274">
        <v>186.35</v>
      </c>
      <c r="AB274">
        <v>0</v>
      </c>
      <c r="AC274">
        <v>0</v>
      </c>
      <c r="AD274">
        <v>0</v>
      </c>
      <c r="AE274">
        <v>30.4</v>
      </c>
      <c r="AF274">
        <v>0</v>
      </c>
      <c r="AG274">
        <v>0</v>
      </c>
      <c r="AH274">
        <v>0</v>
      </c>
      <c r="AI274">
        <v>6.13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0.32</v>
      </c>
      <c r="AU274" t="s">
        <v>3</v>
      </c>
      <c r="AV274">
        <v>0</v>
      </c>
      <c r="AW274">
        <v>2</v>
      </c>
      <c r="AX274">
        <v>39478303</v>
      </c>
      <c r="AY274">
        <v>1</v>
      </c>
      <c r="AZ274">
        <v>0</v>
      </c>
      <c r="BA274">
        <v>260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Y274*Source!I133</f>
        <v>9.6000000000000002E-2</v>
      </c>
      <c r="CY274">
        <f t="shared" ref="CY274:CY280" si="36">AA274</f>
        <v>186.35</v>
      </c>
      <c r="CZ274">
        <f t="shared" ref="CZ274:CZ280" si="37">AE274</f>
        <v>30.4</v>
      </c>
      <c r="DA274">
        <f t="shared" ref="DA274:DA280" si="38">AI274</f>
        <v>6.13</v>
      </c>
      <c r="DB274">
        <v>0</v>
      </c>
    </row>
    <row r="275" spans="1:106" x14ac:dyDescent="0.2">
      <c r="A275">
        <f>ROW(Source!A133)</f>
        <v>133</v>
      </c>
      <c r="B275">
        <v>39476960</v>
      </c>
      <c r="C275">
        <v>39478298</v>
      </c>
      <c r="D275">
        <v>36802373</v>
      </c>
      <c r="E275">
        <v>1</v>
      </c>
      <c r="F275">
        <v>1</v>
      </c>
      <c r="G275">
        <v>1</v>
      </c>
      <c r="H275">
        <v>3</v>
      </c>
      <c r="I275" t="s">
        <v>1087</v>
      </c>
      <c r="J275" t="s">
        <v>1088</v>
      </c>
      <c r="K275" t="s">
        <v>1089</v>
      </c>
      <c r="L275">
        <v>1348</v>
      </c>
      <c r="N275">
        <v>1009</v>
      </c>
      <c r="O275" t="s">
        <v>34</v>
      </c>
      <c r="P275" t="s">
        <v>34</v>
      </c>
      <c r="Q275">
        <v>1000</v>
      </c>
      <c r="W275">
        <v>0</v>
      </c>
      <c r="X275">
        <v>1012095217</v>
      </c>
      <c r="Y275">
        <v>1.0499999999999999E-3</v>
      </c>
      <c r="AA275">
        <v>11156.6</v>
      </c>
      <c r="AB275">
        <v>0</v>
      </c>
      <c r="AC275">
        <v>0</v>
      </c>
      <c r="AD275">
        <v>0</v>
      </c>
      <c r="AE275">
        <v>1820</v>
      </c>
      <c r="AF275">
        <v>0</v>
      </c>
      <c r="AG275">
        <v>0</v>
      </c>
      <c r="AH275">
        <v>0</v>
      </c>
      <c r="AI275">
        <v>6.13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1.0499999999999999E-3</v>
      </c>
      <c r="AU275" t="s">
        <v>3</v>
      </c>
      <c r="AV275">
        <v>0</v>
      </c>
      <c r="AW275">
        <v>2</v>
      </c>
      <c r="AX275">
        <v>39478304</v>
      </c>
      <c r="AY275">
        <v>1</v>
      </c>
      <c r="AZ275">
        <v>0</v>
      </c>
      <c r="BA275">
        <v>261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Y275*Source!I133</f>
        <v>3.1499999999999996E-4</v>
      </c>
      <c r="CY275">
        <f t="shared" si="36"/>
        <v>11156.6</v>
      </c>
      <c r="CZ275">
        <f t="shared" si="37"/>
        <v>1820</v>
      </c>
      <c r="DA275">
        <f t="shared" si="38"/>
        <v>6.13</v>
      </c>
      <c r="DB275">
        <v>0</v>
      </c>
    </row>
    <row r="276" spans="1:106" x14ac:dyDescent="0.2">
      <c r="A276">
        <f>ROW(Source!A133)</f>
        <v>133</v>
      </c>
      <c r="B276">
        <v>39476960</v>
      </c>
      <c r="C276">
        <v>39478298</v>
      </c>
      <c r="D276">
        <v>36838317</v>
      </c>
      <c r="E276">
        <v>1</v>
      </c>
      <c r="F276">
        <v>1</v>
      </c>
      <c r="G276">
        <v>1</v>
      </c>
      <c r="H276">
        <v>3</v>
      </c>
      <c r="I276" t="s">
        <v>1090</v>
      </c>
      <c r="J276" t="s">
        <v>1091</v>
      </c>
      <c r="K276" t="s">
        <v>1092</v>
      </c>
      <c r="L276">
        <v>1346</v>
      </c>
      <c r="N276">
        <v>1009</v>
      </c>
      <c r="O276" t="s">
        <v>217</v>
      </c>
      <c r="P276" t="s">
        <v>217</v>
      </c>
      <c r="Q276">
        <v>1</v>
      </c>
      <c r="W276">
        <v>0</v>
      </c>
      <c r="X276">
        <v>210558753</v>
      </c>
      <c r="Y276">
        <v>0.02</v>
      </c>
      <c r="AA276">
        <v>175.32</v>
      </c>
      <c r="AB276">
        <v>0</v>
      </c>
      <c r="AC276">
        <v>0</v>
      </c>
      <c r="AD276">
        <v>0</v>
      </c>
      <c r="AE276">
        <v>28.6</v>
      </c>
      <c r="AF276">
        <v>0</v>
      </c>
      <c r="AG276">
        <v>0</v>
      </c>
      <c r="AH276">
        <v>0</v>
      </c>
      <c r="AI276">
        <v>6.13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0.02</v>
      </c>
      <c r="AU276" t="s">
        <v>3</v>
      </c>
      <c r="AV276">
        <v>0</v>
      </c>
      <c r="AW276">
        <v>2</v>
      </c>
      <c r="AX276">
        <v>39478305</v>
      </c>
      <c r="AY276">
        <v>1</v>
      </c>
      <c r="AZ276">
        <v>0</v>
      </c>
      <c r="BA276">
        <v>262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Y276*Source!I133</f>
        <v>6.0000000000000001E-3</v>
      </c>
      <c r="CY276">
        <f t="shared" si="36"/>
        <v>175.32</v>
      </c>
      <c r="CZ276">
        <f t="shared" si="37"/>
        <v>28.6</v>
      </c>
      <c r="DA276">
        <f t="shared" si="38"/>
        <v>6.13</v>
      </c>
      <c r="DB276">
        <v>0</v>
      </c>
    </row>
    <row r="277" spans="1:106" x14ac:dyDescent="0.2">
      <c r="A277">
        <f>ROW(Source!A133)</f>
        <v>133</v>
      </c>
      <c r="B277">
        <v>39476960</v>
      </c>
      <c r="C277">
        <v>39478298</v>
      </c>
      <c r="D277">
        <v>36852011</v>
      </c>
      <c r="E277">
        <v>1</v>
      </c>
      <c r="F277">
        <v>1</v>
      </c>
      <c r="G277">
        <v>1</v>
      </c>
      <c r="H277">
        <v>3</v>
      </c>
      <c r="I277" t="s">
        <v>1093</v>
      </c>
      <c r="J277" t="s">
        <v>1094</v>
      </c>
      <c r="K277" t="s">
        <v>1095</v>
      </c>
      <c r="L277">
        <v>1355</v>
      </c>
      <c r="N277">
        <v>1010</v>
      </c>
      <c r="O277" t="s">
        <v>429</v>
      </c>
      <c r="P277" t="s">
        <v>429</v>
      </c>
      <c r="Q277">
        <v>100</v>
      </c>
      <c r="W277">
        <v>0</v>
      </c>
      <c r="X277">
        <v>-1427219203</v>
      </c>
      <c r="Y277">
        <v>0.05</v>
      </c>
      <c r="AA277">
        <v>876.59</v>
      </c>
      <c r="AB277">
        <v>0</v>
      </c>
      <c r="AC277">
        <v>0</v>
      </c>
      <c r="AD277">
        <v>0</v>
      </c>
      <c r="AE277">
        <v>143</v>
      </c>
      <c r="AF277">
        <v>0</v>
      </c>
      <c r="AG277">
        <v>0</v>
      </c>
      <c r="AH277">
        <v>0</v>
      </c>
      <c r="AI277">
        <v>6.13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0.05</v>
      </c>
      <c r="AU277" t="s">
        <v>3</v>
      </c>
      <c r="AV277">
        <v>0</v>
      </c>
      <c r="AW277">
        <v>2</v>
      </c>
      <c r="AX277">
        <v>39478306</v>
      </c>
      <c r="AY277">
        <v>1</v>
      </c>
      <c r="AZ277">
        <v>0</v>
      </c>
      <c r="BA277">
        <v>263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Y277*Source!I133</f>
        <v>1.4999999999999999E-2</v>
      </c>
      <c r="CY277">
        <f t="shared" si="36"/>
        <v>876.59</v>
      </c>
      <c r="CZ277">
        <f t="shared" si="37"/>
        <v>143</v>
      </c>
      <c r="DA277">
        <f t="shared" si="38"/>
        <v>6.13</v>
      </c>
      <c r="DB277">
        <v>0</v>
      </c>
    </row>
    <row r="278" spans="1:106" x14ac:dyDescent="0.2">
      <c r="A278">
        <f>ROW(Source!A133)</f>
        <v>133</v>
      </c>
      <c r="B278">
        <v>39476960</v>
      </c>
      <c r="C278">
        <v>39478298</v>
      </c>
      <c r="D278">
        <v>36852061</v>
      </c>
      <c r="E278">
        <v>1</v>
      </c>
      <c r="F278">
        <v>1</v>
      </c>
      <c r="G278">
        <v>1</v>
      </c>
      <c r="H278">
        <v>3</v>
      </c>
      <c r="I278" t="s">
        <v>1096</v>
      </c>
      <c r="J278" t="s">
        <v>1097</v>
      </c>
      <c r="K278" t="s">
        <v>1098</v>
      </c>
      <c r="L278">
        <v>1356</v>
      </c>
      <c r="N278">
        <v>1010</v>
      </c>
      <c r="O278" t="s">
        <v>259</v>
      </c>
      <c r="P278" t="s">
        <v>259</v>
      </c>
      <c r="Q278">
        <v>1000</v>
      </c>
      <c r="W278">
        <v>0</v>
      </c>
      <c r="X278">
        <v>2033598199</v>
      </c>
      <c r="Y278">
        <v>1.2200000000000001E-2</v>
      </c>
      <c r="AA278">
        <v>1080.17</v>
      </c>
      <c r="AB278">
        <v>0</v>
      </c>
      <c r="AC278">
        <v>0</v>
      </c>
      <c r="AD278">
        <v>0</v>
      </c>
      <c r="AE278">
        <v>176.21</v>
      </c>
      <c r="AF278">
        <v>0</v>
      </c>
      <c r="AG278">
        <v>0</v>
      </c>
      <c r="AH278">
        <v>0</v>
      </c>
      <c r="AI278">
        <v>6.13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1.2200000000000001E-2</v>
      </c>
      <c r="AU278" t="s">
        <v>3</v>
      </c>
      <c r="AV278">
        <v>0</v>
      </c>
      <c r="AW278">
        <v>2</v>
      </c>
      <c r="AX278">
        <v>39478307</v>
      </c>
      <c r="AY278">
        <v>1</v>
      </c>
      <c r="AZ278">
        <v>0</v>
      </c>
      <c r="BA278">
        <v>264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Y278*Source!I133</f>
        <v>3.6600000000000001E-3</v>
      </c>
      <c r="CY278">
        <f t="shared" si="36"/>
        <v>1080.17</v>
      </c>
      <c r="CZ278">
        <f t="shared" si="37"/>
        <v>176.21</v>
      </c>
      <c r="DA278">
        <f t="shared" si="38"/>
        <v>6.13</v>
      </c>
      <c r="DB278">
        <v>0</v>
      </c>
    </row>
    <row r="279" spans="1:106" x14ac:dyDescent="0.2">
      <c r="A279">
        <f>ROW(Source!A133)</f>
        <v>133</v>
      </c>
      <c r="B279">
        <v>39476960</v>
      </c>
      <c r="C279">
        <v>39478298</v>
      </c>
      <c r="D279">
        <v>36857511</v>
      </c>
      <c r="E279">
        <v>1</v>
      </c>
      <c r="F279">
        <v>1</v>
      </c>
      <c r="G279">
        <v>1</v>
      </c>
      <c r="H279">
        <v>3</v>
      </c>
      <c r="I279" t="s">
        <v>377</v>
      </c>
      <c r="J279" t="s">
        <v>380</v>
      </c>
      <c r="K279" t="s">
        <v>378</v>
      </c>
      <c r="L279">
        <v>1477</v>
      </c>
      <c r="N279">
        <v>1013</v>
      </c>
      <c r="O279" t="s">
        <v>379</v>
      </c>
      <c r="P279" t="s">
        <v>381</v>
      </c>
      <c r="Q279">
        <v>1</v>
      </c>
      <c r="W279">
        <v>0</v>
      </c>
      <c r="X279">
        <v>559331636</v>
      </c>
      <c r="Y279">
        <v>0.1</v>
      </c>
      <c r="AA279">
        <v>42422.11</v>
      </c>
      <c r="AB279">
        <v>0</v>
      </c>
      <c r="AC279">
        <v>0</v>
      </c>
      <c r="AD279">
        <v>0</v>
      </c>
      <c r="AE279">
        <v>6920.41</v>
      </c>
      <c r="AF279">
        <v>0</v>
      </c>
      <c r="AG279">
        <v>0</v>
      </c>
      <c r="AH279">
        <v>0</v>
      </c>
      <c r="AI279">
        <v>6.13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3</v>
      </c>
      <c r="AT279">
        <v>0.1</v>
      </c>
      <c r="AU279" t="s">
        <v>3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Y279*Source!I133</f>
        <v>0.03</v>
      </c>
      <c r="CY279">
        <f t="shared" si="36"/>
        <v>42422.11</v>
      </c>
      <c r="CZ279">
        <f t="shared" si="37"/>
        <v>6920.41</v>
      </c>
      <c r="DA279">
        <f t="shared" si="38"/>
        <v>6.13</v>
      </c>
      <c r="DB279">
        <v>0</v>
      </c>
    </row>
    <row r="280" spans="1:106" x14ac:dyDescent="0.2">
      <c r="A280">
        <f>ROW(Source!A133)</f>
        <v>133</v>
      </c>
      <c r="B280">
        <v>39476960</v>
      </c>
      <c r="C280">
        <v>39478298</v>
      </c>
      <c r="D280">
        <v>36799065</v>
      </c>
      <c r="E280">
        <v>17</v>
      </c>
      <c r="F280">
        <v>1</v>
      </c>
      <c r="G280">
        <v>1</v>
      </c>
      <c r="H280">
        <v>3</v>
      </c>
      <c r="I280" t="s">
        <v>1099</v>
      </c>
      <c r="J280" t="s">
        <v>3</v>
      </c>
      <c r="K280" t="s">
        <v>1100</v>
      </c>
      <c r="L280">
        <v>1374</v>
      </c>
      <c r="N280">
        <v>1013</v>
      </c>
      <c r="O280" t="s">
        <v>1101</v>
      </c>
      <c r="P280" t="s">
        <v>1101</v>
      </c>
      <c r="Q280">
        <v>1</v>
      </c>
      <c r="W280">
        <v>0</v>
      </c>
      <c r="X280">
        <v>-1731369543</v>
      </c>
      <c r="Y280">
        <v>1.18</v>
      </c>
      <c r="AA280">
        <v>1</v>
      </c>
      <c r="AB280">
        <v>0</v>
      </c>
      <c r="AC280">
        <v>0</v>
      </c>
      <c r="AD280">
        <v>0</v>
      </c>
      <c r="AE280">
        <v>1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1.18</v>
      </c>
      <c r="AU280" t="s">
        <v>3</v>
      </c>
      <c r="AV280">
        <v>0</v>
      </c>
      <c r="AW280">
        <v>2</v>
      </c>
      <c r="AX280">
        <v>39478308</v>
      </c>
      <c r="AY280">
        <v>1</v>
      </c>
      <c r="AZ280">
        <v>0</v>
      </c>
      <c r="BA280">
        <v>265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Y280*Source!I133</f>
        <v>0.35399999999999998</v>
      </c>
      <c r="CY280">
        <f t="shared" si="36"/>
        <v>1</v>
      </c>
      <c r="CZ280">
        <f t="shared" si="37"/>
        <v>1</v>
      </c>
      <c r="DA280">
        <f t="shared" si="38"/>
        <v>1</v>
      </c>
      <c r="DB280">
        <v>0</v>
      </c>
    </row>
    <row r="281" spans="1:106" x14ac:dyDescent="0.2">
      <c r="A281">
        <f>ROW(Source!A135)</f>
        <v>135</v>
      </c>
      <c r="B281">
        <v>39476960</v>
      </c>
      <c r="C281">
        <v>39478309</v>
      </c>
      <c r="D281">
        <v>37064878</v>
      </c>
      <c r="E281">
        <v>1</v>
      </c>
      <c r="F281">
        <v>1</v>
      </c>
      <c r="G281">
        <v>1</v>
      </c>
      <c r="H281">
        <v>1</v>
      </c>
      <c r="I281" t="s">
        <v>820</v>
      </c>
      <c r="J281" t="s">
        <v>3</v>
      </c>
      <c r="K281" t="s">
        <v>821</v>
      </c>
      <c r="L281">
        <v>1191</v>
      </c>
      <c r="N281">
        <v>1013</v>
      </c>
      <c r="O281" t="s">
        <v>796</v>
      </c>
      <c r="P281" t="s">
        <v>796</v>
      </c>
      <c r="Q281">
        <v>1</v>
      </c>
      <c r="W281">
        <v>0</v>
      </c>
      <c r="X281">
        <v>-1081351934</v>
      </c>
      <c r="Y281">
        <v>10.752000000000001</v>
      </c>
      <c r="AA281">
        <v>0</v>
      </c>
      <c r="AB281">
        <v>0</v>
      </c>
      <c r="AC281">
        <v>0</v>
      </c>
      <c r="AD281">
        <v>57.62</v>
      </c>
      <c r="AE281">
        <v>0</v>
      </c>
      <c r="AF281">
        <v>0</v>
      </c>
      <c r="AG281">
        <v>0</v>
      </c>
      <c r="AH281">
        <v>9.4</v>
      </c>
      <c r="AI281">
        <v>1</v>
      </c>
      <c r="AJ281">
        <v>1</v>
      </c>
      <c r="AK281">
        <v>1</v>
      </c>
      <c r="AL281">
        <v>6.13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8.9600000000000009</v>
      </c>
      <c r="AU281" t="s">
        <v>371</v>
      </c>
      <c r="AV281">
        <v>1</v>
      </c>
      <c r="AW281">
        <v>2</v>
      </c>
      <c r="AX281">
        <v>39478310</v>
      </c>
      <c r="AY281">
        <v>1</v>
      </c>
      <c r="AZ281">
        <v>0</v>
      </c>
      <c r="BA281">
        <v>266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Y281*Source!I135</f>
        <v>5.3760000000000003</v>
      </c>
      <c r="CY281">
        <f>AD281</f>
        <v>57.62</v>
      </c>
      <c r="CZ281">
        <f>AH281</f>
        <v>9.4</v>
      </c>
      <c r="DA281">
        <f>AL281</f>
        <v>6.13</v>
      </c>
      <c r="DB281">
        <v>0</v>
      </c>
    </row>
    <row r="282" spans="1:106" x14ac:dyDescent="0.2">
      <c r="A282">
        <f>ROW(Source!A135)</f>
        <v>135</v>
      </c>
      <c r="B282">
        <v>39476960</v>
      </c>
      <c r="C282">
        <v>39478309</v>
      </c>
      <c r="D282">
        <v>37064876</v>
      </c>
      <c r="E282">
        <v>1</v>
      </c>
      <c r="F282">
        <v>1</v>
      </c>
      <c r="G282">
        <v>1</v>
      </c>
      <c r="H282">
        <v>1</v>
      </c>
      <c r="I282" t="s">
        <v>797</v>
      </c>
      <c r="J282" t="s">
        <v>3</v>
      </c>
      <c r="K282" t="s">
        <v>798</v>
      </c>
      <c r="L282">
        <v>1191</v>
      </c>
      <c r="N282">
        <v>1013</v>
      </c>
      <c r="O282" t="s">
        <v>796</v>
      </c>
      <c r="P282" t="s">
        <v>796</v>
      </c>
      <c r="Q282">
        <v>1</v>
      </c>
      <c r="W282">
        <v>0</v>
      </c>
      <c r="X282">
        <v>-1417349443</v>
      </c>
      <c r="Y282">
        <v>0.12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6.13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0.12</v>
      </c>
      <c r="AU282" t="s">
        <v>3</v>
      </c>
      <c r="AV282">
        <v>2</v>
      </c>
      <c r="AW282">
        <v>2</v>
      </c>
      <c r="AX282">
        <v>39478311</v>
      </c>
      <c r="AY282">
        <v>1</v>
      </c>
      <c r="AZ282">
        <v>2048</v>
      </c>
      <c r="BA282">
        <v>267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Y282*Source!I135</f>
        <v>0.06</v>
      </c>
      <c r="CY282">
        <f>AD282</f>
        <v>0</v>
      </c>
      <c r="CZ282">
        <f>AH282</f>
        <v>0</v>
      </c>
      <c r="DA282">
        <f>AL282</f>
        <v>1</v>
      </c>
      <c r="DB282">
        <v>0</v>
      </c>
    </row>
    <row r="283" spans="1:106" x14ac:dyDescent="0.2">
      <c r="A283">
        <f>ROW(Source!A135)</f>
        <v>135</v>
      </c>
      <c r="B283">
        <v>39476960</v>
      </c>
      <c r="C283">
        <v>39478309</v>
      </c>
      <c r="D283">
        <v>36882159</v>
      </c>
      <c r="E283">
        <v>1</v>
      </c>
      <c r="F283">
        <v>1</v>
      </c>
      <c r="G283">
        <v>1</v>
      </c>
      <c r="H283">
        <v>2</v>
      </c>
      <c r="I283" t="s">
        <v>825</v>
      </c>
      <c r="J283" t="s">
        <v>826</v>
      </c>
      <c r="K283" t="s">
        <v>827</v>
      </c>
      <c r="L283">
        <v>1368</v>
      </c>
      <c r="N283">
        <v>1011</v>
      </c>
      <c r="O283" t="s">
        <v>802</v>
      </c>
      <c r="P283" t="s">
        <v>802</v>
      </c>
      <c r="Q283">
        <v>1</v>
      </c>
      <c r="W283">
        <v>0</v>
      </c>
      <c r="X283">
        <v>-1718674368</v>
      </c>
      <c r="Y283">
        <v>7.1999999999999995E-2</v>
      </c>
      <c r="AA283">
        <v>0</v>
      </c>
      <c r="AB283">
        <v>686.5</v>
      </c>
      <c r="AC283">
        <v>13.5</v>
      </c>
      <c r="AD283">
        <v>0</v>
      </c>
      <c r="AE283">
        <v>0</v>
      </c>
      <c r="AF283">
        <v>111.99</v>
      </c>
      <c r="AG283">
        <v>13.5</v>
      </c>
      <c r="AH283">
        <v>0</v>
      </c>
      <c r="AI283">
        <v>1</v>
      </c>
      <c r="AJ283">
        <v>6.13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0.06</v>
      </c>
      <c r="AU283" t="s">
        <v>371</v>
      </c>
      <c r="AV283">
        <v>0</v>
      </c>
      <c r="AW283">
        <v>2</v>
      </c>
      <c r="AX283">
        <v>39478312</v>
      </c>
      <c r="AY283">
        <v>1</v>
      </c>
      <c r="AZ283">
        <v>0</v>
      </c>
      <c r="BA283">
        <v>268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Y283*Source!I135</f>
        <v>3.5999999999999997E-2</v>
      </c>
      <c r="CY283">
        <f>AB283</f>
        <v>686.5</v>
      </c>
      <c r="CZ283">
        <f>AF283</f>
        <v>111.99</v>
      </c>
      <c r="DA283">
        <f>AJ283</f>
        <v>6.13</v>
      </c>
      <c r="DB283">
        <v>0</v>
      </c>
    </row>
    <row r="284" spans="1:106" x14ac:dyDescent="0.2">
      <c r="A284">
        <f>ROW(Source!A135)</f>
        <v>135</v>
      </c>
      <c r="B284">
        <v>39476960</v>
      </c>
      <c r="C284">
        <v>39478309</v>
      </c>
      <c r="D284">
        <v>36883554</v>
      </c>
      <c r="E284">
        <v>1</v>
      </c>
      <c r="F284">
        <v>1</v>
      </c>
      <c r="G284">
        <v>1</v>
      </c>
      <c r="H284">
        <v>2</v>
      </c>
      <c r="I284" t="s">
        <v>834</v>
      </c>
      <c r="J284" t="s">
        <v>835</v>
      </c>
      <c r="K284" t="s">
        <v>836</v>
      </c>
      <c r="L284">
        <v>1368</v>
      </c>
      <c r="N284">
        <v>1011</v>
      </c>
      <c r="O284" t="s">
        <v>802</v>
      </c>
      <c r="P284" t="s">
        <v>802</v>
      </c>
      <c r="Q284">
        <v>1</v>
      </c>
      <c r="W284">
        <v>0</v>
      </c>
      <c r="X284">
        <v>1372534845</v>
      </c>
      <c r="Y284">
        <v>7.1999999999999995E-2</v>
      </c>
      <c r="AA284">
        <v>0</v>
      </c>
      <c r="AB284">
        <v>402.8</v>
      </c>
      <c r="AC284">
        <v>11.6</v>
      </c>
      <c r="AD284">
        <v>0</v>
      </c>
      <c r="AE284">
        <v>0</v>
      </c>
      <c r="AF284">
        <v>65.709999999999994</v>
      </c>
      <c r="AG284">
        <v>11.6</v>
      </c>
      <c r="AH284">
        <v>0</v>
      </c>
      <c r="AI284">
        <v>1</v>
      </c>
      <c r="AJ284">
        <v>6.13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0.06</v>
      </c>
      <c r="AU284" t="s">
        <v>371</v>
      </c>
      <c r="AV284">
        <v>0</v>
      </c>
      <c r="AW284">
        <v>2</v>
      </c>
      <c r="AX284">
        <v>39478313</v>
      </c>
      <c r="AY284">
        <v>1</v>
      </c>
      <c r="AZ284">
        <v>0</v>
      </c>
      <c r="BA284">
        <v>269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Y284*Source!I135</f>
        <v>3.5999999999999997E-2</v>
      </c>
      <c r="CY284">
        <f>AB284</f>
        <v>402.8</v>
      </c>
      <c r="CZ284">
        <f>AF284</f>
        <v>65.709999999999994</v>
      </c>
      <c r="DA284">
        <f>AJ284</f>
        <v>6.13</v>
      </c>
      <c r="DB284">
        <v>0</v>
      </c>
    </row>
    <row r="285" spans="1:106" x14ac:dyDescent="0.2">
      <c r="A285">
        <f>ROW(Source!A135)</f>
        <v>135</v>
      </c>
      <c r="B285">
        <v>39476960</v>
      </c>
      <c r="C285">
        <v>39478309</v>
      </c>
      <c r="D285">
        <v>36802094</v>
      </c>
      <c r="E285">
        <v>1</v>
      </c>
      <c r="F285">
        <v>1</v>
      </c>
      <c r="G285">
        <v>1</v>
      </c>
      <c r="H285">
        <v>3</v>
      </c>
      <c r="I285" t="s">
        <v>1084</v>
      </c>
      <c r="J285" t="s">
        <v>1085</v>
      </c>
      <c r="K285" t="s">
        <v>1086</v>
      </c>
      <c r="L285">
        <v>1346</v>
      </c>
      <c r="N285">
        <v>1009</v>
      </c>
      <c r="O285" t="s">
        <v>217</v>
      </c>
      <c r="P285" t="s">
        <v>217</v>
      </c>
      <c r="Q285">
        <v>1</v>
      </c>
      <c r="W285">
        <v>0</v>
      </c>
      <c r="X285">
        <v>-1088866022</v>
      </c>
      <c r="Y285">
        <v>0.32</v>
      </c>
      <c r="AA285">
        <v>186.35</v>
      </c>
      <c r="AB285">
        <v>0</v>
      </c>
      <c r="AC285">
        <v>0</v>
      </c>
      <c r="AD285">
        <v>0</v>
      </c>
      <c r="AE285">
        <v>30.4</v>
      </c>
      <c r="AF285">
        <v>0</v>
      </c>
      <c r="AG285">
        <v>0</v>
      </c>
      <c r="AH285">
        <v>0</v>
      </c>
      <c r="AI285">
        <v>6.13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0.32</v>
      </c>
      <c r="AU285" t="s">
        <v>3</v>
      </c>
      <c r="AV285">
        <v>0</v>
      </c>
      <c r="AW285">
        <v>2</v>
      </c>
      <c r="AX285">
        <v>39478314</v>
      </c>
      <c r="AY285">
        <v>1</v>
      </c>
      <c r="AZ285">
        <v>0</v>
      </c>
      <c r="BA285">
        <v>270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Y285*Source!I135</f>
        <v>0.16</v>
      </c>
      <c r="CY285">
        <f t="shared" ref="CY285:CY291" si="39">AA285</f>
        <v>186.35</v>
      </c>
      <c r="CZ285">
        <f t="shared" ref="CZ285:CZ291" si="40">AE285</f>
        <v>30.4</v>
      </c>
      <c r="DA285">
        <f t="shared" ref="DA285:DA291" si="41">AI285</f>
        <v>6.13</v>
      </c>
      <c r="DB285">
        <v>0</v>
      </c>
    </row>
    <row r="286" spans="1:106" x14ac:dyDescent="0.2">
      <c r="A286">
        <f>ROW(Source!A135)</f>
        <v>135</v>
      </c>
      <c r="B286">
        <v>39476960</v>
      </c>
      <c r="C286">
        <v>39478309</v>
      </c>
      <c r="D286">
        <v>36802373</v>
      </c>
      <c r="E286">
        <v>1</v>
      </c>
      <c r="F286">
        <v>1</v>
      </c>
      <c r="G286">
        <v>1</v>
      </c>
      <c r="H286">
        <v>3</v>
      </c>
      <c r="I286" t="s">
        <v>1087</v>
      </c>
      <c r="J286" t="s">
        <v>1088</v>
      </c>
      <c r="K286" t="s">
        <v>1089</v>
      </c>
      <c r="L286">
        <v>1348</v>
      </c>
      <c r="N286">
        <v>1009</v>
      </c>
      <c r="O286" t="s">
        <v>34</v>
      </c>
      <c r="P286" t="s">
        <v>34</v>
      </c>
      <c r="Q286">
        <v>1000</v>
      </c>
      <c r="W286">
        <v>0</v>
      </c>
      <c r="X286">
        <v>1012095217</v>
      </c>
      <c r="Y286">
        <v>1.16E-3</v>
      </c>
      <c r="AA286">
        <v>11156.6</v>
      </c>
      <c r="AB286">
        <v>0</v>
      </c>
      <c r="AC286">
        <v>0</v>
      </c>
      <c r="AD286">
        <v>0</v>
      </c>
      <c r="AE286">
        <v>1820</v>
      </c>
      <c r="AF286">
        <v>0</v>
      </c>
      <c r="AG286">
        <v>0</v>
      </c>
      <c r="AH286">
        <v>0</v>
      </c>
      <c r="AI286">
        <v>6.13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1.16E-3</v>
      </c>
      <c r="AU286" t="s">
        <v>3</v>
      </c>
      <c r="AV286">
        <v>0</v>
      </c>
      <c r="AW286">
        <v>2</v>
      </c>
      <c r="AX286">
        <v>39478315</v>
      </c>
      <c r="AY286">
        <v>1</v>
      </c>
      <c r="AZ286">
        <v>0</v>
      </c>
      <c r="BA286">
        <v>271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Y286*Source!I135</f>
        <v>5.8E-4</v>
      </c>
      <c r="CY286">
        <f t="shared" si="39"/>
        <v>11156.6</v>
      </c>
      <c r="CZ286">
        <f t="shared" si="40"/>
        <v>1820</v>
      </c>
      <c r="DA286">
        <f t="shared" si="41"/>
        <v>6.13</v>
      </c>
      <c r="DB286">
        <v>0</v>
      </c>
    </row>
    <row r="287" spans="1:106" x14ac:dyDescent="0.2">
      <c r="A287">
        <f>ROW(Source!A135)</f>
        <v>135</v>
      </c>
      <c r="B287">
        <v>39476960</v>
      </c>
      <c r="C287">
        <v>39478309</v>
      </c>
      <c r="D287">
        <v>36838317</v>
      </c>
      <c r="E287">
        <v>1</v>
      </c>
      <c r="F287">
        <v>1</v>
      </c>
      <c r="G287">
        <v>1</v>
      </c>
      <c r="H287">
        <v>3</v>
      </c>
      <c r="I287" t="s">
        <v>1090</v>
      </c>
      <c r="J287" t="s">
        <v>1091</v>
      </c>
      <c r="K287" t="s">
        <v>1092</v>
      </c>
      <c r="L287">
        <v>1346</v>
      </c>
      <c r="N287">
        <v>1009</v>
      </c>
      <c r="O287" t="s">
        <v>217</v>
      </c>
      <c r="P287" t="s">
        <v>217</v>
      </c>
      <c r="Q287">
        <v>1</v>
      </c>
      <c r="W287">
        <v>0</v>
      </c>
      <c r="X287">
        <v>210558753</v>
      </c>
      <c r="Y287">
        <v>0.02</v>
      </c>
      <c r="AA287">
        <v>175.32</v>
      </c>
      <c r="AB287">
        <v>0</v>
      </c>
      <c r="AC287">
        <v>0</v>
      </c>
      <c r="AD287">
        <v>0</v>
      </c>
      <c r="AE287">
        <v>28.6</v>
      </c>
      <c r="AF287">
        <v>0</v>
      </c>
      <c r="AG287">
        <v>0</v>
      </c>
      <c r="AH287">
        <v>0</v>
      </c>
      <c r="AI287">
        <v>6.13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0.02</v>
      </c>
      <c r="AU287" t="s">
        <v>3</v>
      </c>
      <c r="AV287">
        <v>0</v>
      </c>
      <c r="AW287">
        <v>2</v>
      </c>
      <c r="AX287">
        <v>39478316</v>
      </c>
      <c r="AY287">
        <v>1</v>
      </c>
      <c r="AZ287">
        <v>0</v>
      </c>
      <c r="BA287">
        <v>272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Y287*Source!I135</f>
        <v>0.01</v>
      </c>
      <c r="CY287">
        <f t="shared" si="39"/>
        <v>175.32</v>
      </c>
      <c r="CZ287">
        <f t="shared" si="40"/>
        <v>28.6</v>
      </c>
      <c r="DA287">
        <f t="shared" si="41"/>
        <v>6.13</v>
      </c>
      <c r="DB287">
        <v>0</v>
      </c>
    </row>
    <row r="288" spans="1:106" x14ac:dyDescent="0.2">
      <c r="A288">
        <f>ROW(Source!A135)</f>
        <v>135</v>
      </c>
      <c r="B288">
        <v>39476960</v>
      </c>
      <c r="C288">
        <v>39478309</v>
      </c>
      <c r="D288">
        <v>36852013</v>
      </c>
      <c r="E288">
        <v>1</v>
      </c>
      <c r="F288">
        <v>1</v>
      </c>
      <c r="G288">
        <v>1</v>
      </c>
      <c r="H288">
        <v>3</v>
      </c>
      <c r="I288" t="s">
        <v>1102</v>
      </c>
      <c r="J288" t="s">
        <v>1103</v>
      </c>
      <c r="K288" t="s">
        <v>1104</v>
      </c>
      <c r="L288">
        <v>1355</v>
      </c>
      <c r="N288">
        <v>1010</v>
      </c>
      <c r="O288" t="s">
        <v>429</v>
      </c>
      <c r="P288" t="s">
        <v>429</v>
      </c>
      <c r="Q288">
        <v>100</v>
      </c>
      <c r="W288">
        <v>0</v>
      </c>
      <c r="X288">
        <v>1190679243</v>
      </c>
      <c r="Y288">
        <v>0.05</v>
      </c>
      <c r="AA288">
        <v>2317.14</v>
      </c>
      <c r="AB288">
        <v>0</v>
      </c>
      <c r="AC288">
        <v>0</v>
      </c>
      <c r="AD288">
        <v>0</v>
      </c>
      <c r="AE288">
        <v>378</v>
      </c>
      <c r="AF288">
        <v>0</v>
      </c>
      <c r="AG288">
        <v>0</v>
      </c>
      <c r="AH288">
        <v>0</v>
      </c>
      <c r="AI288">
        <v>6.13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0.05</v>
      </c>
      <c r="AU288" t="s">
        <v>3</v>
      </c>
      <c r="AV288">
        <v>0</v>
      </c>
      <c r="AW288">
        <v>2</v>
      </c>
      <c r="AX288">
        <v>39478317</v>
      </c>
      <c r="AY288">
        <v>1</v>
      </c>
      <c r="AZ288">
        <v>0</v>
      </c>
      <c r="BA288">
        <v>273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Y288*Source!I135</f>
        <v>2.5000000000000001E-2</v>
      </c>
      <c r="CY288">
        <f t="shared" si="39"/>
        <v>2317.14</v>
      </c>
      <c r="CZ288">
        <f t="shared" si="40"/>
        <v>378</v>
      </c>
      <c r="DA288">
        <f t="shared" si="41"/>
        <v>6.13</v>
      </c>
      <c r="DB288">
        <v>0</v>
      </c>
    </row>
    <row r="289" spans="1:106" x14ac:dyDescent="0.2">
      <c r="A289">
        <f>ROW(Source!A135)</f>
        <v>135</v>
      </c>
      <c r="B289">
        <v>39476960</v>
      </c>
      <c r="C289">
        <v>39478309</v>
      </c>
      <c r="D289">
        <v>36852062</v>
      </c>
      <c r="E289">
        <v>1</v>
      </c>
      <c r="F289">
        <v>1</v>
      </c>
      <c r="G289">
        <v>1</v>
      </c>
      <c r="H289">
        <v>3</v>
      </c>
      <c r="I289" t="s">
        <v>1105</v>
      </c>
      <c r="J289" t="s">
        <v>1106</v>
      </c>
      <c r="K289" t="s">
        <v>1107</v>
      </c>
      <c r="L289">
        <v>1356</v>
      </c>
      <c r="N289">
        <v>1010</v>
      </c>
      <c r="O289" t="s">
        <v>259</v>
      </c>
      <c r="P289" t="s">
        <v>259</v>
      </c>
      <c r="Q289">
        <v>1000</v>
      </c>
      <c r="W289">
        <v>0</v>
      </c>
      <c r="X289">
        <v>-947325787</v>
      </c>
      <c r="Y289">
        <v>1.2200000000000001E-2</v>
      </c>
      <c r="AA289">
        <v>1728.84</v>
      </c>
      <c r="AB289">
        <v>0</v>
      </c>
      <c r="AC289">
        <v>0</v>
      </c>
      <c r="AD289">
        <v>0</v>
      </c>
      <c r="AE289">
        <v>282.02999999999997</v>
      </c>
      <c r="AF289">
        <v>0</v>
      </c>
      <c r="AG289">
        <v>0</v>
      </c>
      <c r="AH289">
        <v>0</v>
      </c>
      <c r="AI289">
        <v>6.13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1.2200000000000001E-2</v>
      </c>
      <c r="AU289" t="s">
        <v>3</v>
      </c>
      <c r="AV289">
        <v>0</v>
      </c>
      <c r="AW289">
        <v>2</v>
      </c>
      <c r="AX289">
        <v>39478318</v>
      </c>
      <c r="AY289">
        <v>1</v>
      </c>
      <c r="AZ289">
        <v>0</v>
      </c>
      <c r="BA289">
        <v>274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Y289*Source!I135</f>
        <v>6.1000000000000004E-3</v>
      </c>
      <c r="CY289">
        <f t="shared" si="39"/>
        <v>1728.84</v>
      </c>
      <c r="CZ289">
        <f t="shared" si="40"/>
        <v>282.02999999999997</v>
      </c>
      <c r="DA289">
        <f t="shared" si="41"/>
        <v>6.13</v>
      </c>
      <c r="DB289">
        <v>0</v>
      </c>
    </row>
    <row r="290" spans="1:106" x14ac:dyDescent="0.2">
      <c r="A290">
        <f>ROW(Source!A135)</f>
        <v>135</v>
      </c>
      <c r="B290">
        <v>39476960</v>
      </c>
      <c r="C290">
        <v>39478309</v>
      </c>
      <c r="D290">
        <v>36857536</v>
      </c>
      <c r="E290">
        <v>1</v>
      </c>
      <c r="F290">
        <v>1</v>
      </c>
      <c r="G290">
        <v>1</v>
      </c>
      <c r="H290">
        <v>3</v>
      </c>
      <c r="I290" t="s">
        <v>387</v>
      </c>
      <c r="J290" t="s">
        <v>389</v>
      </c>
      <c r="K290" t="s">
        <v>388</v>
      </c>
      <c r="L290">
        <v>1477</v>
      </c>
      <c r="N290">
        <v>1013</v>
      </c>
      <c r="O290" t="s">
        <v>379</v>
      </c>
      <c r="P290" t="s">
        <v>381</v>
      </c>
      <c r="Q290">
        <v>1</v>
      </c>
      <c r="W290">
        <v>0</v>
      </c>
      <c r="X290">
        <v>-1909897882</v>
      </c>
      <c r="Y290">
        <v>0.1</v>
      </c>
      <c r="AA290">
        <v>110633.32</v>
      </c>
      <c r="AB290">
        <v>0</v>
      </c>
      <c r="AC290">
        <v>0</v>
      </c>
      <c r="AD290">
        <v>0</v>
      </c>
      <c r="AE290">
        <v>18047.849999999999</v>
      </c>
      <c r="AF290">
        <v>0</v>
      </c>
      <c r="AG290">
        <v>0</v>
      </c>
      <c r="AH290">
        <v>0</v>
      </c>
      <c r="AI290">
        <v>6.13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3</v>
      </c>
      <c r="AT290">
        <v>0.1</v>
      </c>
      <c r="AU290" t="s">
        <v>3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Y290*Source!I135</f>
        <v>0.05</v>
      </c>
      <c r="CY290">
        <f t="shared" si="39"/>
        <v>110633.32</v>
      </c>
      <c r="CZ290">
        <f t="shared" si="40"/>
        <v>18047.849999999999</v>
      </c>
      <c r="DA290">
        <f t="shared" si="41"/>
        <v>6.13</v>
      </c>
      <c r="DB290">
        <v>0</v>
      </c>
    </row>
    <row r="291" spans="1:106" x14ac:dyDescent="0.2">
      <c r="A291">
        <f>ROW(Source!A135)</f>
        <v>135</v>
      </c>
      <c r="B291">
        <v>39476960</v>
      </c>
      <c r="C291">
        <v>39478309</v>
      </c>
      <c r="D291">
        <v>36799065</v>
      </c>
      <c r="E291">
        <v>17</v>
      </c>
      <c r="F291">
        <v>1</v>
      </c>
      <c r="G291">
        <v>1</v>
      </c>
      <c r="H291">
        <v>3</v>
      </c>
      <c r="I291" t="s">
        <v>1099</v>
      </c>
      <c r="J291" t="s">
        <v>3</v>
      </c>
      <c r="K291" t="s">
        <v>1100</v>
      </c>
      <c r="L291">
        <v>1374</v>
      </c>
      <c r="N291">
        <v>1013</v>
      </c>
      <c r="O291" t="s">
        <v>1101</v>
      </c>
      <c r="P291" t="s">
        <v>1101</v>
      </c>
      <c r="Q291">
        <v>1</v>
      </c>
      <c r="W291">
        <v>0</v>
      </c>
      <c r="X291">
        <v>-1731369543</v>
      </c>
      <c r="Y291">
        <v>1.68</v>
      </c>
      <c r="AA291">
        <v>1</v>
      </c>
      <c r="AB291">
        <v>0</v>
      </c>
      <c r="AC291">
        <v>0</v>
      </c>
      <c r="AD291">
        <v>0</v>
      </c>
      <c r="AE291">
        <v>1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1.68</v>
      </c>
      <c r="AU291" t="s">
        <v>3</v>
      </c>
      <c r="AV291">
        <v>0</v>
      </c>
      <c r="AW291">
        <v>2</v>
      </c>
      <c r="AX291">
        <v>39478319</v>
      </c>
      <c r="AY291">
        <v>1</v>
      </c>
      <c r="AZ291">
        <v>0</v>
      </c>
      <c r="BA291">
        <v>275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Y291*Source!I135</f>
        <v>0.84</v>
      </c>
      <c r="CY291">
        <f t="shared" si="39"/>
        <v>1</v>
      </c>
      <c r="CZ291">
        <f t="shared" si="40"/>
        <v>1</v>
      </c>
      <c r="DA291">
        <f t="shared" si="41"/>
        <v>1</v>
      </c>
      <c r="DB291">
        <v>0</v>
      </c>
    </row>
    <row r="292" spans="1:106" x14ac:dyDescent="0.2">
      <c r="A292">
        <f>ROW(Source!A137)</f>
        <v>137</v>
      </c>
      <c r="B292">
        <v>39476960</v>
      </c>
      <c r="C292">
        <v>39478320</v>
      </c>
      <c r="D292">
        <v>37064878</v>
      </c>
      <c r="E292">
        <v>1</v>
      </c>
      <c r="F292">
        <v>1</v>
      </c>
      <c r="G292">
        <v>1</v>
      </c>
      <c r="H292">
        <v>1</v>
      </c>
      <c r="I292" t="s">
        <v>820</v>
      </c>
      <c r="J292" t="s">
        <v>3</v>
      </c>
      <c r="K292" t="s">
        <v>821</v>
      </c>
      <c r="L292">
        <v>1191</v>
      </c>
      <c r="N292">
        <v>1013</v>
      </c>
      <c r="O292" t="s">
        <v>796</v>
      </c>
      <c r="P292" t="s">
        <v>796</v>
      </c>
      <c r="Q292">
        <v>1</v>
      </c>
      <c r="W292">
        <v>0</v>
      </c>
      <c r="X292">
        <v>-1081351934</v>
      </c>
      <c r="Y292">
        <v>19.8</v>
      </c>
      <c r="AA292">
        <v>0</v>
      </c>
      <c r="AB292">
        <v>0</v>
      </c>
      <c r="AC292">
        <v>0</v>
      </c>
      <c r="AD292">
        <v>57.62</v>
      </c>
      <c r="AE292">
        <v>0</v>
      </c>
      <c r="AF292">
        <v>0</v>
      </c>
      <c r="AG292">
        <v>0</v>
      </c>
      <c r="AH292">
        <v>9.4</v>
      </c>
      <c r="AI292">
        <v>1</v>
      </c>
      <c r="AJ292">
        <v>1</v>
      </c>
      <c r="AK292">
        <v>1</v>
      </c>
      <c r="AL292">
        <v>6.13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16.5</v>
      </c>
      <c r="AU292" t="s">
        <v>371</v>
      </c>
      <c r="AV292">
        <v>1</v>
      </c>
      <c r="AW292">
        <v>2</v>
      </c>
      <c r="AX292">
        <v>39478321</v>
      </c>
      <c r="AY292">
        <v>1</v>
      </c>
      <c r="AZ292">
        <v>0</v>
      </c>
      <c r="BA292">
        <v>276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Y292*Source!I137</f>
        <v>14.652000000000001</v>
      </c>
      <c r="CY292">
        <f>AD292</f>
        <v>57.62</v>
      </c>
      <c r="CZ292">
        <f>AH292</f>
        <v>9.4</v>
      </c>
      <c r="DA292">
        <f>AL292</f>
        <v>6.13</v>
      </c>
      <c r="DB292">
        <v>0</v>
      </c>
    </row>
    <row r="293" spans="1:106" x14ac:dyDescent="0.2">
      <c r="A293">
        <f>ROW(Source!A137)</f>
        <v>137</v>
      </c>
      <c r="B293">
        <v>39476960</v>
      </c>
      <c r="C293">
        <v>39478320</v>
      </c>
      <c r="D293">
        <v>37064876</v>
      </c>
      <c r="E293">
        <v>1</v>
      </c>
      <c r="F293">
        <v>1</v>
      </c>
      <c r="G293">
        <v>1</v>
      </c>
      <c r="H293">
        <v>1</v>
      </c>
      <c r="I293" t="s">
        <v>797</v>
      </c>
      <c r="J293" t="s">
        <v>3</v>
      </c>
      <c r="K293" t="s">
        <v>798</v>
      </c>
      <c r="L293">
        <v>1191</v>
      </c>
      <c r="N293">
        <v>1013</v>
      </c>
      <c r="O293" t="s">
        <v>796</v>
      </c>
      <c r="P293" t="s">
        <v>796</v>
      </c>
      <c r="Q293">
        <v>1</v>
      </c>
      <c r="W293">
        <v>0</v>
      </c>
      <c r="X293">
        <v>-1417349443</v>
      </c>
      <c r="Y293">
        <v>0.04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6.13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0.04</v>
      </c>
      <c r="AU293" t="s">
        <v>3</v>
      </c>
      <c r="AV293">
        <v>2</v>
      </c>
      <c r="AW293">
        <v>2</v>
      </c>
      <c r="AX293">
        <v>39478322</v>
      </c>
      <c r="AY293">
        <v>1</v>
      </c>
      <c r="AZ293">
        <v>2048</v>
      </c>
      <c r="BA293">
        <v>277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Y293*Source!I137</f>
        <v>2.9600000000000001E-2</v>
      </c>
      <c r="CY293">
        <f>AD293</f>
        <v>0</v>
      </c>
      <c r="CZ293">
        <f>AH293</f>
        <v>0</v>
      </c>
      <c r="DA293">
        <f>AL293</f>
        <v>1</v>
      </c>
      <c r="DB293">
        <v>0</v>
      </c>
    </row>
    <row r="294" spans="1:106" x14ac:dyDescent="0.2">
      <c r="A294">
        <f>ROW(Source!A137)</f>
        <v>137</v>
      </c>
      <c r="B294">
        <v>39476960</v>
      </c>
      <c r="C294">
        <v>39478320</v>
      </c>
      <c r="D294">
        <v>36882159</v>
      </c>
      <c r="E294">
        <v>1</v>
      </c>
      <c r="F294">
        <v>1</v>
      </c>
      <c r="G294">
        <v>1</v>
      </c>
      <c r="H294">
        <v>2</v>
      </c>
      <c r="I294" t="s">
        <v>825</v>
      </c>
      <c r="J294" t="s">
        <v>826</v>
      </c>
      <c r="K294" t="s">
        <v>827</v>
      </c>
      <c r="L294">
        <v>1368</v>
      </c>
      <c r="N294">
        <v>1011</v>
      </c>
      <c r="O294" t="s">
        <v>802</v>
      </c>
      <c r="P294" t="s">
        <v>802</v>
      </c>
      <c r="Q294">
        <v>1</v>
      </c>
      <c r="W294">
        <v>0</v>
      </c>
      <c r="X294">
        <v>-1718674368</v>
      </c>
      <c r="Y294">
        <v>2.4E-2</v>
      </c>
      <c r="AA294">
        <v>0</v>
      </c>
      <c r="AB294">
        <v>686.5</v>
      </c>
      <c r="AC294">
        <v>13.5</v>
      </c>
      <c r="AD294">
        <v>0</v>
      </c>
      <c r="AE294">
        <v>0</v>
      </c>
      <c r="AF294">
        <v>111.99</v>
      </c>
      <c r="AG294">
        <v>13.5</v>
      </c>
      <c r="AH294">
        <v>0</v>
      </c>
      <c r="AI294">
        <v>1</v>
      </c>
      <c r="AJ294">
        <v>6.13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0.02</v>
      </c>
      <c r="AU294" t="s">
        <v>371</v>
      </c>
      <c r="AV294">
        <v>0</v>
      </c>
      <c r="AW294">
        <v>2</v>
      </c>
      <c r="AX294">
        <v>39478323</v>
      </c>
      <c r="AY294">
        <v>1</v>
      </c>
      <c r="AZ294">
        <v>0</v>
      </c>
      <c r="BA294">
        <v>278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Y294*Source!I137</f>
        <v>1.7760000000000001E-2</v>
      </c>
      <c r="CY294">
        <f>AB294</f>
        <v>686.5</v>
      </c>
      <c r="CZ294">
        <f>AF294</f>
        <v>111.99</v>
      </c>
      <c r="DA294">
        <f>AJ294</f>
        <v>6.13</v>
      </c>
      <c r="DB294">
        <v>0</v>
      </c>
    </row>
    <row r="295" spans="1:106" x14ac:dyDescent="0.2">
      <c r="A295">
        <f>ROW(Source!A137)</f>
        <v>137</v>
      </c>
      <c r="B295">
        <v>39476960</v>
      </c>
      <c r="C295">
        <v>39478320</v>
      </c>
      <c r="D295">
        <v>36883554</v>
      </c>
      <c r="E295">
        <v>1</v>
      </c>
      <c r="F295">
        <v>1</v>
      </c>
      <c r="G295">
        <v>1</v>
      </c>
      <c r="H295">
        <v>2</v>
      </c>
      <c r="I295" t="s">
        <v>834</v>
      </c>
      <c r="J295" t="s">
        <v>835</v>
      </c>
      <c r="K295" t="s">
        <v>836</v>
      </c>
      <c r="L295">
        <v>1368</v>
      </c>
      <c r="N295">
        <v>1011</v>
      </c>
      <c r="O295" t="s">
        <v>802</v>
      </c>
      <c r="P295" t="s">
        <v>802</v>
      </c>
      <c r="Q295">
        <v>1</v>
      </c>
      <c r="W295">
        <v>0</v>
      </c>
      <c r="X295">
        <v>1372534845</v>
      </c>
      <c r="Y295">
        <v>2.4E-2</v>
      </c>
      <c r="AA295">
        <v>0</v>
      </c>
      <c r="AB295">
        <v>402.8</v>
      </c>
      <c r="AC295">
        <v>11.6</v>
      </c>
      <c r="AD295">
        <v>0</v>
      </c>
      <c r="AE295">
        <v>0</v>
      </c>
      <c r="AF295">
        <v>65.709999999999994</v>
      </c>
      <c r="AG295">
        <v>11.6</v>
      </c>
      <c r="AH295">
        <v>0</v>
      </c>
      <c r="AI295">
        <v>1</v>
      </c>
      <c r="AJ295">
        <v>6.13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0.02</v>
      </c>
      <c r="AU295" t="s">
        <v>371</v>
      </c>
      <c r="AV295">
        <v>0</v>
      </c>
      <c r="AW295">
        <v>2</v>
      </c>
      <c r="AX295">
        <v>39478324</v>
      </c>
      <c r="AY295">
        <v>1</v>
      </c>
      <c r="AZ295">
        <v>0</v>
      </c>
      <c r="BA295">
        <v>279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Y295*Source!I137</f>
        <v>1.7760000000000001E-2</v>
      </c>
      <c r="CY295">
        <f>AB295</f>
        <v>402.8</v>
      </c>
      <c r="CZ295">
        <f>AF295</f>
        <v>65.709999999999994</v>
      </c>
      <c r="DA295">
        <f>AJ295</f>
        <v>6.13</v>
      </c>
      <c r="DB295">
        <v>0</v>
      </c>
    </row>
    <row r="296" spans="1:106" x14ac:dyDescent="0.2">
      <c r="A296">
        <f>ROW(Source!A137)</f>
        <v>137</v>
      </c>
      <c r="B296">
        <v>39476960</v>
      </c>
      <c r="C296">
        <v>39478320</v>
      </c>
      <c r="D296">
        <v>36806488</v>
      </c>
      <c r="E296">
        <v>1</v>
      </c>
      <c r="F296">
        <v>1</v>
      </c>
      <c r="G296">
        <v>1</v>
      </c>
      <c r="H296">
        <v>3</v>
      </c>
      <c r="I296" t="s">
        <v>931</v>
      </c>
      <c r="J296" t="s">
        <v>932</v>
      </c>
      <c r="K296" t="s">
        <v>933</v>
      </c>
      <c r="L296">
        <v>1348</v>
      </c>
      <c r="N296">
        <v>1009</v>
      </c>
      <c r="O296" t="s">
        <v>34</v>
      </c>
      <c r="P296" t="s">
        <v>34</v>
      </c>
      <c r="Q296">
        <v>1000</v>
      </c>
      <c r="W296">
        <v>0</v>
      </c>
      <c r="X296">
        <v>-1421715385</v>
      </c>
      <c r="Y296">
        <v>0.01</v>
      </c>
      <c r="AA296">
        <v>4474.78</v>
      </c>
      <c r="AB296">
        <v>0</v>
      </c>
      <c r="AC296">
        <v>0</v>
      </c>
      <c r="AD296">
        <v>0</v>
      </c>
      <c r="AE296">
        <v>729.98</v>
      </c>
      <c r="AF296">
        <v>0</v>
      </c>
      <c r="AG296">
        <v>0</v>
      </c>
      <c r="AH296">
        <v>0</v>
      </c>
      <c r="AI296">
        <v>6.13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0.01</v>
      </c>
      <c r="AU296" t="s">
        <v>3</v>
      </c>
      <c r="AV296">
        <v>0</v>
      </c>
      <c r="AW296">
        <v>2</v>
      </c>
      <c r="AX296">
        <v>39478325</v>
      </c>
      <c r="AY296">
        <v>1</v>
      </c>
      <c r="AZ296">
        <v>0</v>
      </c>
      <c r="BA296">
        <v>280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Y296*Source!I137</f>
        <v>7.4000000000000003E-3</v>
      </c>
      <c r="CY296">
        <f>AA296</f>
        <v>4474.78</v>
      </c>
      <c r="CZ296">
        <f>AE296</f>
        <v>729.98</v>
      </c>
      <c r="DA296">
        <f>AI296</f>
        <v>6.13</v>
      </c>
      <c r="DB296">
        <v>0</v>
      </c>
    </row>
    <row r="297" spans="1:106" x14ac:dyDescent="0.2">
      <c r="A297">
        <f>ROW(Source!A137)</f>
        <v>137</v>
      </c>
      <c r="B297">
        <v>39476960</v>
      </c>
      <c r="C297">
        <v>39478320</v>
      </c>
      <c r="D297">
        <v>36838317</v>
      </c>
      <c r="E297">
        <v>1</v>
      </c>
      <c r="F297">
        <v>1</v>
      </c>
      <c r="G297">
        <v>1</v>
      </c>
      <c r="H297">
        <v>3</v>
      </c>
      <c r="I297" t="s">
        <v>1090</v>
      </c>
      <c r="J297" t="s">
        <v>1091</v>
      </c>
      <c r="K297" t="s">
        <v>1092</v>
      </c>
      <c r="L297">
        <v>1346</v>
      </c>
      <c r="N297">
        <v>1009</v>
      </c>
      <c r="O297" t="s">
        <v>217</v>
      </c>
      <c r="P297" t="s">
        <v>217</v>
      </c>
      <c r="Q297">
        <v>1</v>
      </c>
      <c r="W297">
        <v>0</v>
      </c>
      <c r="X297">
        <v>210558753</v>
      </c>
      <c r="Y297">
        <v>0.3</v>
      </c>
      <c r="AA297">
        <v>175.32</v>
      </c>
      <c r="AB297">
        <v>0</v>
      </c>
      <c r="AC297">
        <v>0</v>
      </c>
      <c r="AD297">
        <v>0</v>
      </c>
      <c r="AE297">
        <v>28.6</v>
      </c>
      <c r="AF297">
        <v>0</v>
      </c>
      <c r="AG297">
        <v>0</v>
      </c>
      <c r="AH297">
        <v>0</v>
      </c>
      <c r="AI297">
        <v>6.13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0.3</v>
      </c>
      <c r="AU297" t="s">
        <v>3</v>
      </c>
      <c r="AV297">
        <v>0</v>
      </c>
      <c r="AW297">
        <v>2</v>
      </c>
      <c r="AX297">
        <v>39478326</v>
      </c>
      <c r="AY297">
        <v>1</v>
      </c>
      <c r="AZ297">
        <v>0</v>
      </c>
      <c r="BA297">
        <v>281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Y297*Source!I137</f>
        <v>0.222</v>
      </c>
      <c r="CY297">
        <f>AA297</f>
        <v>175.32</v>
      </c>
      <c r="CZ297">
        <f>AE297</f>
        <v>28.6</v>
      </c>
      <c r="DA297">
        <f>AI297</f>
        <v>6.13</v>
      </c>
      <c r="DB297">
        <v>0</v>
      </c>
    </row>
    <row r="298" spans="1:106" x14ac:dyDescent="0.2">
      <c r="A298">
        <f>ROW(Source!A137)</f>
        <v>137</v>
      </c>
      <c r="B298">
        <v>39476960</v>
      </c>
      <c r="C298">
        <v>39478320</v>
      </c>
      <c r="D298">
        <v>36857536</v>
      </c>
      <c r="E298">
        <v>1</v>
      </c>
      <c r="F298">
        <v>1</v>
      </c>
      <c r="G298">
        <v>1</v>
      </c>
      <c r="H298">
        <v>3</v>
      </c>
      <c r="I298" t="s">
        <v>387</v>
      </c>
      <c r="J298" t="s">
        <v>389</v>
      </c>
      <c r="K298" t="s">
        <v>388</v>
      </c>
      <c r="L298">
        <v>1477</v>
      </c>
      <c r="N298">
        <v>1013</v>
      </c>
      <c r="O298" t="s">
        <v>379</v>
      </c>
      <c r="P298" t="s">
        <v>381</v>
      </c>
      <c r="Q298">
        <v>1</v>
      </c>
      <c r="W298">
        <v>0</v>
      </c>
      <c r="X298">
        <v>-1909897882</v>
      </c>
      <c r="Y298">
        <v>0.1</v>
      </c>
      <c r="AA298">
        <v>110633.32</v>
      </c>
      <c r="AB298">
        <v>0</v>
      </c>
      <c r="AC298">
        <v>0</v>
      </c>
      <c r="AD298">
        <v>0</v>
      </c>
      <c r="AE298">
        <v>18047.849999999999</v>
      </c>
      <c r="AF298">
        <v>0</v>
      </c>
      <c r="AG298">
        <v>0</v>
      </c>
      <c r="AH298">
        <v>0</v>
      </c>
      <c r="AI298">
        <v>6.13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3</v>
      </c>
      <c r="AT298">
        <v>0.1</v>
      </c>
      <c r="AU298" t="s">
        <v>3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3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Y298*Source!I137</f>
        <v>7.3999999999999996E-2</v>
      </c>
      <c r="CY298">
        <f>AA298</f>
        <v>110633.32</v>
      </c>
      <c r="CZ298">
        <f>AE298</f>
        <v>18047.849999999999</v>
      </c>
      <c r="DA298">
        <f>AI298</f>
        <v>6.13</v>
      </c>
      <c r="DB298">
        <v>0</v>
      </c>
    </row>
    <row r="299" spans="1:106" x14ac:dyDescent="0.2">
      <c r="A299">
        <f>ROW(Source!A137)</f>
        <v>137</v>
      </c>
      <c r="B299">
        <v>39476960</v>
      </c>
      <c r="C299">
        <v>39478320</v>
      </c>
      <c r="D299">
        <v>36867793</v>
      </c>
      <c r="E299">
        <v>1</v>
      </c>
      <c r="F299">
        <v>1</v>
      </c>
      <c r="G299">
        <v>1</v>
      </c>
      <c r="H299">
        <v>3</v>
      </c>
      <c r="I299" t="s">
        <v>1108</v>
      </c>
      <c r="J299" t="s">
        <v>1109</v>
      </c>
      <c r="K299" t="s">
        <v>1110</v>
      </c>
      <c r="L299">
        <v>1346</v>
      </c>
      <c r="N299">
        <v>1009</v>
      </c>
      <c r="O299" t="s">
        <v>217</v>
      </c>
      <c r="P299" t="s">
        <v>217</v>
      </c>
      <c r="Q299">
        <v>1</v>
      </c>
      <c r="W299">
        <v>0</v>
      </c>
      <c r="X299">
        <v>1907110972</v>
      </c>
      <c r="Y299">
        <v>0.53</v>
      </c>
      <c r="AA299">
        <v>255.62</v>
      </c>
      <c r="AB299">
        <v>0</v>
      </c>
      <c r="AC299">
        <v>0</v>
      </c>
      <c r="AD299">
        <v>0</v>
      </c>
      <c r="AE299">
        <v>41.7</v>
      </c>
      <c r="AF299">
        <v>0</v>
      </c>
      <c r="AG299">
        <v>0</v>
      </c>
      <c r="AH299">
        <v>0</v>
      </c>
      <c r="AI299">
        <v>6.13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0.53</v>
      </c>
      <c r="AU299" t="s">
        <v>3</v>
      </c>
      <c r="AV299">
        <v>0</v>
      </c>
      <c r="AW299">
        <v>2</v>
      </c>
      <c r="AX299">
        <v>39478327</v>
      </c>
      <c r="AY299">
        <v>1</v>
      </c>
      <c r="AZ299">
        <v>0</v>
      </c>
      <c r="BA299">
        <v>282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Y299*Source!I137</f>
        <v>0.39219999999999999</v>
      </c>
      <c r="CY299">
        <f>AA299</f>
        <v>255.62</v>
      </c>
      <c r="CZ299">
        <f>AE299</f>
        <v>41.7</v>
      </c>
      <c r="DA299">
        <f>AI299</f>
        <v>6.13</v>
      </c>
      <c r="DB299">
        <v>0</v>
      </c>
    </row>
    <row r="300" spans="1:106" x14ac:dyDescent="0.2">
      <c r="A300">
        <f>ROW(Source!A137)</f>
        <v>137</v>
      </c>
      <c r="B300">
        <v>39476960</v>
      </c>
      <c r="C300">
        <v>39478320</v>
      </c>
      <c r="D300">
        <v>36799065</v>
      </c>
      <c r="E300">
        <v>17</v>
      </c>
      <c r="F300">
        <v>1</v>
      </c>
      <c r="G300">
        <v>1</v>
      </c>
      <c r="H300">
        <v>3</v>
      </c>
      <c r="I300" t="s">
        <v>1099</v>
      </c>
      <c r="J300" t="s">
        <v>3</v>
      </c>
      <c r="K300" t="s">
        <v>1100</v>
      </c>
      <c r="L300">
        <v>1374</v>
      </c>
      <c r="N300">
        <v>1013</v>
      </c>
      <c r="O300" t="s">
        <v>1101</v>
      </c>
      <c r="P300" t="s">
        <v>1101</v>
      </c>
      <c r="Q300">
        <v>1</v>
      </c>
      <c r="W300">
        <v>0</v>
      </c>
      <c r="X300">
        <v>-1731369543</v>
      </c>
      <c r="Y300">
        <v>3.1</v>
      </c>
      <c r="AA300">
        <v>1</v>
      </c>
      <c r="AB300">
        <v>0</v>
      </c>
      <c r="AC300">
        <v>0</v>
      </c>
      <c r="AD300">
        <v>0</v>
      </c>
      <c r="AE300">
        <v>1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3.1</v>
      </c>
      <c r="AU300" t="s">
        <v>3</v>
      </c>
      <c r="AV300">
        <v>0</v>
      </c>
      <c r="AW300">
        <v>2</v>
      </c>
      <c r="AX300">
        <v>39478328</v>
      </c>
      <c r="AY300">
        <v>1</v>
      </c>
      <c r="AZ300">
        <v>0</v>
      </c>
      <c r="BA300">
        <v>283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Y300*Source!I137</f>
        <v>2.294</v>
      </c>
      <c r="CY300">
        <f>AA300</f>
        <v>1</v>
      </c>
      <c r="CZ300">
        <f>AE300</f>
        <v>1</v>
      </c>
      <c r="DA300">
        <f>AI300</f>
        <v>1</v>
      </c>
      <c r="DB300">
        <v>0</v>
      </c>
    </row>
    <row r="301" spans="1:106" x14ac:dyDescent="0.2">
      <c r="A301">
        <f>ROW(Source!A139)</f>
        <v>139</v>
      </c>
      <c r="B301">
        <v>39476960</v>
      </c>
      <c r="C301">
        <v>39478331</v>
      </c>
      <c r="D301">
        <v>37064878</v>
      </c>
      <c r="E301">
        <v>1</v>
      </c>
      <c r="F301">
        <v>1</v>
      </c>
      <c r="G301">
        <v>1</v>
      </c>
      <c r="H301">
        <v>1</v>
      </c>
      <c r="I301" t="s">
        <v>820</v>
      </c>
      <c r="J301" t="s">
        <v>3</v>
      </c>
      <c r="K301" t="s">
        <v>821</v>
      </c>
      <c r="L301">
        <v>1191</v>
      </c>
      <c r="N301">
        <v>1013</v>
      </c>
      <c r="O301" t="s">
        <v>796</v>
      </c>
      <c r="P301" t="s">
        <v>796</v>
      </c>
      <c r="Q301">
        <v>1</v>
      </c>
      <c r="W301">
        <v>0</v>
      </c>
      <c r="X301">
        <v>-1081351934</v>
      </c>
      <c r="Y301">
        <v>4.5119999999999996</v>
      </c>
      <c r="AA301">
        <v>0</v>
      </c>
      <c r="AB301">
        <v>0</v>
      </c>
      <c r="AC301">
        <v>0</v>
      </c>
      <c r="AD301">
        <v>57.62</v>
      </c>
      <c r="AE301">
        <v>0</v>
      </c>
      <c r="AF301">
        <v>0</v>
      </c>
      <c r="AG301">
        <v>0</v>
      </c>
      <c r="AH301">
        <v>9.4</v>
      </c>
      <c r="AI301">
        <v>1</v>
      </c>
      <c r="AJ301">
        <v>1</v>
      </c>
      <c r="AK301">
        <v>1</v>
      </c>
      <c r="AL301">
        <v>6.13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3.76</v>
      </c>
      <c r="AU301" t="s">
        <v>371</v>
      </c>
      <c r="AV301">
        <v>1</v>
      </c>
      <c r="AW301">
        <v>2</v>
      </c>
      <c r="AX301">
        <v>39478332</v>
      </c>
      <c r="AY301">
        <v>1</v>
      </c>
      <c r="AZ301">
        <v>0</v>
      </c>
      <c r="BA301">
        <v>284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Y301*Source!I139</f>
        <v>4.3315199999999994</v>
      </c>
      <c r="CY301">
        <f>AD301</f>
        <v>57.62</v>
      </c>
      <c r="CZ301">
        <f>AH301</f>
        <v>9.4</v>
      </c>
      <c r="DA301">
        <f>AL301</f>
        <v>6.13</v>
      </c>
      <c r="DB301">
        <v>0</v>
      </c>
    </row>
    <row r="302" spans="1:106" x14ac:dyDescent="0.2">
      <c r="A302">
        <f>ROW(Source!A139)</f>
        <v>139</v>
      </c>
      <c r="B302">
        <v>39476960</v>
      </c>
      <c r="C302">
        <v>39478331</v>
      </c>
      <c r="D302">
        <v>37064876</v>
      </c>
      <c r="E302">
        <v>1</v>
      </c>
      <c r="F302">
        <v>1</v>
      </c>
      <c r="G302">
        <v>1</v>
      </c>
      <c r="H302">
        <v>1</v>
      </c>
      <c r="I302" t="s">
        <v>797</v>
      </c>
      <c r="J302" t="s">
        <v>3</v>
      </c>
      <c r="K302" t="s">
        <v>798</v>
      </c>
      <c r="L302">
        <v>1191</v>
      </c>
      <c r="N302">
        <v>1013</v>
      </c>
      <c r="O302" t="s">
        <v>796</v>
      </c>
      <c r="P302" t="s">
        <v>796</v>
      </c>
      <c r="Q302">
        <v>1</v>
      </c>
      <c r="W302">
        <v>0</v>
      </c>
      <c r="X302">
        <v>-1417349443</v>
      </c>
      <c r="Y302">
        <v>0.02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6.13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0.02</v>
      </c>
      <c r="AU302" t="s">
        <v>3</v>
      </c>
      <c r="AV302">
        <v>2</v>
      </c>
      <c r="AW302">
        <v>2</v>
      </c>
      <c r="AX302">
        <v>39478333</v>
      </c>
      <c r="AY302">
        <v>1</v>
      </c>
      <c r="AZ302">
        <v>2048</v>
      </c>
      <c r="BA302">
        <v>285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Y302*Source!I139</f>
        <v>1.9199999999999998E-2</v>
      </c>
      <c r="CY302">
        <f>AD302</f>
        <v>0</v>
      </c>
      <c r="CZ302">
        <f>AH302</f>
        <v>0</v>
      </c>
      <c r="DA302">
        <f>AL302</f>
        <v>1</v>
      </c>
      <c r="DB302">
        <v>0</v>
      </c>
    </row>
    <row r="303" spans="1:106" x14ac:dyDescent="0.2">
      <c r="A303">
        <f>ROW(Source!A139)</f>
        <v>139</v>
      </c>
      <c r="B303">
        <v>39476960</v>
      </c>
      <c r="C303">
        <v>39478331</v>
      </c>
      <c r="D303">
        <v>36882159</v>
      </c>
      <c r="E303">
        <v>1</v>
      </c>
      <c r="F303">
        <v>1</v>
      </c>
      <c r="G303">
        <v>1</v>
      </c>
      <c r="H303">
        <v>2</v>
      </c>
      <c r="I303" t="s">
        <v>825</v>
      </c>
      <c r="J303" t="s">
        <v>826</v>
      </c>
      <c r="K303" t="s">
        <v>827</v>
      </c>
      <c r="L303">
        <v>1368</v>
      </c>
      <c r="N303">
        <v>1011</v>
      </c>
      <c r="O303" t="s">
        <v>802</v>
      </c>
      <c r="P303" t="s">
        <v>802</v>
      </c>
      <c r="Q303">
        <v>1</v>
      </c>
      <c r="W303">
        <v>0</v>
      </c>
      <c r="X303">
        <v>-1718674368</v>
      </c>
      <c r="Y303">
        <v>1.2E-2</v>
      </c>
      <c r="AA303">
        <v>0</v>
      </c>
      <c r="AB303">
        <v>686.5</v>
      </c>
      <c r="AC303">
        <v>13.5</v>
      </c>
      <c r="AD303">
        <v>0</v>
      </c>
      <c r="AE303">
        <v>0</v>
      </c>
      <c r="AF303">
        <v>111.99</v>
      </c>
      <c r="AG303">
        <v>13.5</v>
      </c>
      <c r="AH303">
        <v>0</v>
      </c>
      <c r="AI303">
        <v>1</v>
      </c>
      <c r="AJ303">
        <v>6.13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0.01</v>
      </c>
      <c r="AU303" t="s">
        <v>371</v>
      </c>
      <c r="AV303">
        <v>0</v>
      </c>
      <c r="AW303">
        <v>2</v>
      </c>
      <c r="AX303">
        <v>39478334</v>
      </c>
      <c r="AY303">
        <v>1</v>
      </c>
      <c r="AZ303">
        <v>0</v>
      </c>
      <c r="BA303">
        <v>286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Y303*Source!I139</f>
        <v>1.1519999999999999E-2</v>
      </c>
      <c r="CY303">
        <f>AB303</f>
        <v>686.5</v>
      </c>
      <c r="CZ303">
        <f>AF303</f>
        <v>111.99</v>
      </c>
      <c r="DA303">
        <f>AJ303</f>
        <v>6.13</v>
      </c>
      <c r="DB303">
        <v>0</v>
      </c>
    </row>
    <row r="304" spans="1:106" x14ac:dyDescent="0.2">
      <c r="A304">
        <f>ROW(Source!A139)</f>
        <v>139</v>
      </c>
      <c r="B304">
        <v>39476960</v>
      </c>
      <c r="C304">
        <v>39478331</v>
      </c>
      <c r="D304">
        <v>36883554</v>
      </c>
      <c r="E304">
        <v>1</v>
      </c>
      <c r="F304">
        <v>1</v>
      </c>
      <c r="G304">
        <v>1</v>
      </c>
      <c r="H304">
        <v>2</v>
      </c>
      <c r="I304" t="s">
        <v>834</v>
      </c>
      <c r="J304" t="s">
        <v>835</v>
      </c>
      <c r="K304" t="s">
        <v>836</v>
      </c>
      <c r="L304">
        <v>1368</v>
      </c>
      <c r="N304">
        <v>1011</v>
      </c>
      <c r="O304" t="s">
        <v>802</v>
      </c>
      <c r="P304" t="s">
        <v>802</v>
      </c>
      <c r="Q304">
        <v>1</v>
      </c>
      <c r="W304">
        <v>0</v>
      </c>
      <c r="X304">
        <v>1372534845</v>
      </c>
      <c r="Y304">
        <v>1.2E-2</v>
      </c>
      <c r="AA304">
        <v>0</v>
      </c>
      <c r="AB304">
        <v>402.8</v>
      </c>
      <c r="AC304">
        <v>11.6</v>
      </c>
      <c r="AD304">
        <v>0</v>
      </c>
      <c r="AE304">
        <v>0</v>
      </c>
      <c r="AF304">
        <v>65.709999999999994</v>
      </c>
      <c r="AG304">
        <v>11.6</v>
      </c>
      <c r="AH304">
        <v>0</v>
      </c>
      <c r="AI304">
        <v>1</v>
      </c>
      <c r="AJ304">
        <v>6.13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0.01</v>
      </c>
      <c r="AU304" t="s">
        <v>371</v>
      </c>
      <c r="AV304">
        <v>0</v>
      </c>
      <c r="AW304">
        <v>2</v>
      </c>
      <c r="AX304">
        <v>39478335</v>
      </c>
      <c r="AY304">
        <v>1</v>
      </c>
      <c r="AZ304">
        <v>0</v>
      </c>
      <c r="BA304">
        <v>287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Y304*Source!I139</f>
        <v>1.1519999999999999E-2</v>
      </c>
      <c r="CY304">
        <f>AB304</f>
        <v>402.8</v>
      </c>
      <c r="CZ304">
        <f>AF304</f>
        <v>65.709999999999994</v>
      </c>
      <c r="DA304">
        <f>AJ304</f>
        <v>6.13</v>
      </c>
      <c r="DB304">
        <v>0</v>
      </c>
    </row>
    <row r="305" spans="1:106" x14ac:dyDescent="0.2">
      <c r="A305">
        <f>ROW(Source!A139)</f>
        <v>139</v>
      </c>
      <c r="B305">
        <v>39476960</v>
      </c>
      <c r="C305">
        <v>39478331</v>
      </c>
      <c r="D305">
        <v>36802094</v>
      </c>
      <c r="E305">
        <v>1</v>
      </c>
      <c r="F305">
        <v>1</v>
      </c>
      <c r="G305">
        <v>1</v>
      </c>
      <c r="H305">
        <v>3</v>
      </c>
      <c r="I305" t="s">
        <v>1084</v>
      </c>
      <c r="J305" t="s">
        <v>1085</v>
      </c>
      <c r="K305" t="s">
        <v>1086</v>
      </c>
      <c r="L305">
        <v>1346</v>
      </c>
      <c r="N305">
        <v>1009</v>
      </c>
      <c r="O305" t="s">
        <v>217</v>
      </c>
      <c r="P305" t="s">
        <v>217</v>
      </c>
      <c r="Q305">
        <v>1</v>
      </c>
      <c r="W305">
        <v>0</v>
      </c>
      <c r="X305">
        <v>-1088866022</v>
      </c>
      <c r="Y305">
        <v>0.16</v>
      </c>
      <c r="AA305">
        <v>186.35</v>
      </c>
      <c r="AB305">
        <v>0</v>
      </c>
      <c r="AC305">
        <v>0</v>
      </c>
      <c r="AD305">
        <v>0</v>
      </c>
      <c r="AE305">
        <v>30.4</v>
      </c>
      <c r="AF305">
        <v>0</v>
      </c>
      <c r="AG305">
        <v>0</v>
      </c>
      <c r="AH305">
        <v>0</v>
      </c>
      <c r="AI305">
        <v>6.13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0.16</v>
      </c>
      <c r="AU305" t="s">
        <v>3</v>
      </c>
      <c r="AV305">
        <v>0</v>
      </c>
      <c r="AW305">
        <v>2</v>
      </c>
      <c r="AX305">
        <v>39478336</v>
      </c>
      <c r="AY305">
        <v>1</v>
      </c>
      <c r="AZ305">
        <v>0</v>
      </c>
      <c r="BA305">
        <v>288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Y305*Source!I139</f>
        <v>0.15359999999999999</v>
      </c>
      <c r="CY305">
        <f>AA305</f>
        <v>186.35</v>
      </c>
      <c r="CZ305">
        <f>AE305</f>
        <v>30.4</v>
      </c>
      <c r="DA305">
        <f>AI305</f>
        <v>6.13</v>
      </c>
      <c r="DB305">
        <v>0</v>
      </c>
    </row>
    <row r="306" spans="1:106" x14ac:dyDescent="0.2">
      <c r="A306">
        <f>ROW(Source!A139)</f>
        <v>139</v>
      </c>
      <c r="B306">
        <v>39476960</v>
      </c>
      <c r="C306">
        <v>39478331</v>
      </c>
      <c r="D306">
        <v>36802106</v>
      </c>
      <c r="E306">
        <v>1</v>
      </c>
      <c r="F306">
        <v>1</v>
      </c>
      <c r="G306">
        <v>1</v>
      </c>
      <c r="H306">
        <v>3</v>
      </c>
      <c r="I306" t="s">
        <v>1111</v>
      </c>
      <c r="J306" t="s">
        <v>1112</v>
      </c>
      <c r="K306" t="s">
        <v>1113</v>
      </c>
      <c r="L306">
        <v>1308</v>
      </c>
      <c r="N306">
        <v>1003</v>
      </c>
      <c r="O306" t="s">
        <v>69</v>
      </c>
      <c r="P306" t="s">
        <v>69</v>
      </c>
      <c r="Q306">
        <v>100</v>
      </c>
      <c r="W306">
        <v>0</v>
      </c>
      <c r="X306">
        <v>568244124</v>
      </c>
      <c r="Y306">
        <v>5.5E-2</v>
      </c>
      <c r="AA306">
        <v>735.6</v>
      </c>
      <c r="AB306">
        <v>0</v>
      </c>
      <c r="AC306">
        <v>0</v>
      </c>
      <c r="AD306">
        <v>0</v>
      </c>
      <c r="AE306">
        <v>120</v>
      </c>
      <c r="AF306">
        <v>0</v>
      </c>
      <c r="AG306">
        <v>0</v>
      </c>
      <c r="AH306">
        <v>0</v>
      </c>
      <c r="AI306">
        <v>6.13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5.5E-2</v>
      </c>
      <c r="AU306" t="s">
        <v>3</v>
      </c>
      <c r="AV306">
        <v>0</v>
      </c>
      <c r="AW306">
        <v>2</v>
      </c>
      <c r="AX306">
        <v>39478337</v>
      </c>
      <c r="AY306">
        <v>1</v>
      </c>
      <c r="AZ306">
        <v>0</v>
      </c>
      <c r="BA306">
        <v>289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Y306*Source!I139</f>
        <v>5.28E-2</v>
      </c>
      <c r="CY306">
        <f>AA306</f>
        <v>735.6</v>
      </c>
      <c r="CZ306">
        <f>AE306</f>
        <v>120</v>
      </c>
      <c r="DA306">
        <f>AI306</f>
        <v>6.13</v>
      </c>
      <c r="DB306">
        <v>0</v>
      </c>
    </row>
    <row r="307" spans="1:106" x14ac:dyDescent="0.2">
      <c r="A307">
        <f>ROW(Source!A139)</f>
        <v>139</v>
      </c>
      <c r="B307">
        <v>39476960</v>
      </c>
      <c r="C307">
        <v>39478331</v>
      </c>
      <c r="D307">
        <v>36838317</v>
      </c>
      <c r="E307">
        <v>1</v>
      </c>
      <c r="F307">
        <v>1</v>
      </c>
      <c r="G307">
        <v>1</v>
      </c>
      <c r="H307">
        <v>3</v>
      </c>
      <c r="I307" t="s">
        <v>1090</v>
      </c>
      <c r="J307" t="s">
        <v>1091</v>
      </c>
      <c r="K307" t="s">
        <v>1092</v>
      </c>
      <c r="L307">
        <v>1346</v>
      </c>
      <c r="N307">
        <v>1009</v>
      </c>
      <c r="O307" t="s">
        <v>217</v>
      </c>
      <c r="P307" t="s">
        <v>217</v>
      </c>
      <c r="Q307">
        <v>1</v>
      </c>
      <c r="W307">
        <v>0</v>
      </c>
      <c r="X307">
        <v>210558753</v>
      </c>
      <c r="Y307">
        <v>0.05</v>
      </c>
      <c r="AA307">
        <v>175.32</v>
      </c>
      <c r="AB307">
        <v>0</v>
      </c>
      <c r="AC307">
        <v>0</v>
      </c>
      <c r="AD307">
        <v>0</v>
      </c>
      <c r="AE307">
        <v>28.6</v>
      </c>
      <c r="AF307">
        <v>0</v>
      </c>
      <c r="AG307">
        <v>0</v>
      </c>
      <c r="AH307">
        <v>0</v>
      </c>
      <c r="AI307">
        <v>6.13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0.05</v>
      </c>
      <c r="AU307" t="s">
        <v>3</v>
      </c>
      <c r="AV307">
        <v>0</v>
      </c>
      <c r="AW307">
        <v>2</v>
      </c>
      <c r="AX307">
        <v>39478338</v>
      </c>
      <c r="AY307">
        <v>1</v>
      </c>
      <c r="AZ307">
        <v>0</v>
      </c>
      <c r="BA307">
        <v>290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Y307*Source!I139</f>
        <v>4.8000000000000001E-2</v>
      </c>
      <c r="CY307">
        <f>AA307</f>
        <v>175.32</v>
      </c>
      <c r="CZ307">
        <f>AE307</f>
        <v>28.6</v>
      </c>
      <c r="DA307">
        <f>AI307</f>
        <v>6.13</v>
      </c>
      <c r="DB307">
        <v>0</v>
      </c>
    </row>
    <row r="308" spans="1:106" x14ac:dyDescent="0.2">
      <c r="A308">
        <f>ROW(Source!A139)</f>
        <v>139</v>
      </c>
      <c r="B308">
        <v>39476960</v>
      </c>
      <c r="C308">
        <v>39478331</v>
      </c>
      <c r="D308">
        <v>36857536</v>
      </c>
      <c r="E308">
        <v>1</v>
      </c>
      <c r="F308">
        <v>1</v>
      </c>
      <c r="G308">
        <v>1</v>
      </c>
      <c r="H308">
        <v>3</v>
      </c>
      <c r="I308" t="s">
        <v>387</v>
      </c>
      <c r="J308" t="s">
        <v>389</v>
      </c>
      <c r="K308" t="s">
        <v>388</v>
      </c>
      <c r="L308">
        <v>1477</v>
      </c>
      <c r="N308">
        <v>1013</v>
      </c>
      <c r="O308" t="s">
        <v>379</v>
      </c>
      <c r="P308" t="s">
        <v>381</v>
      </c>
      <c r="Q308">
        <v>1</v>
      </c>
      <c r="W308">
        <v>0</v>
      </c>
      <c r="X308">
        <v>-1909897882</v>
      </c>
      <c r="Y308">
        <v>0.1</v>
      </c>
      <c r="AA308">
        <v>110633.32</v>
      </c>
      <c r="AB308">
        <v>0</v>
      </c>
      <c r="AC308">
        <v>0</v>
      </c>
      <c r="AD308">
        <v>0</v>
      </c>
      <c r="AE308">
        <v>18047.849999999999</v>
      </c>
      <c r="AF308">
        <v>0</v>
      </c>
      <c r="AG308">
        <v>0</v>
      </c>
      <c r="AH308">
        <v>0</v>
      </c>
      <c r="AI308">
        <v>6.13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3</v>
      </c>
      <c r="AT308">
        <v>0.1</v>
      </c>
      <c r="AU308" t="s">
        <v>3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3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Y308*Source!I139</f>
        <v>9.6000000000000002E-2</v>
      </c>
      <c r="CY308">
        <f>AA308</f>
        <v>110633.32</v>
      </c>
      <c r="CZ308">
        <f>AE308</f>
        <v>18047.849999999999</v>
      </c>
      <c r="DA308">
        <f>AI308</f>
        <v>6.13</v>
      </c>
      <c r="DB308">
        <v>0</v>
      </c>
    </row>
    <row r="309" spans="1:106" x14ac:dyDescent="0.2">
      <c r="A309">
        <f>ROW(Source!A139)</f>
        <v>139</v>
      </c>
      <c r="B309">
        <v>39476960</v>
      </c>
      <c r="C309">
        <v>39478331</v>
      </c>
      <c r="D309">
        <v>36799065</v>
      </c>
      <c r="E309">
        <v>17</v>
      </c>
      <c r="F309">
        <v>1</v>
      </c>
      <c r="G309">
        <v>1</v>
      </c>
      <c r="H309">
        <v>3</v>
      </c>
      <c r="I309" t="s">
        <v>1099</v>
      </c>
      <c r="J309" t="s">
        <v>3</v>
      </c>
      <c r="K309" t="s">
        <v>1100</v>
      </c>
      <c r="L309">
        <v>1374</v>
      </c>
      <c r="N309">
        <v>1013</v>
      </c>
      <c r="O309" t="s">
        <v>1101</v>
      </c>
      <c r="P309" t="s">
        <v>1101</v>
      </c>
      <c r="Q309">
        <v>1</v>
      </c>
      <c r="W309">
        <v>0</v>
      </c>
      <c r="X309">
        <v>-1731369543</v>
      </c>
      <c r="Y309">
        <v>0.71</v>
      </c>
      <c r="AA309">
        <v>1</v>
      </c>
      <c r="AB309">
        <v>0</v>
      </c>
      <c r="AC309">
        <v>0</v>
      </c>
      <c r="AD309">
        <v>0</v>
      </c>
      <c r="AE309">
        <v>1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0.71</v>
      </c>
      <c r="AU309" t="s">
        <v>3</v>
      </c>
      <c r="AV309">
        <v>0</v>
      </c>
      <c r="AW309">
        <v>2</v>
      </c>
      <c r="AX309">
        <v>39478339</v>
      </c>
      <c r="AY309">
        <v>1</v>
      </c>
      <c r="AZ309">
        <v>0</v>
      </c>
      <c r="BA309">
        <v>291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Y309*Source!I139</f>
        <v>0.68159999999999998</v>
      </c>
      <c r="CY309">
        <f>AA309</f>
        <v>1</v>
      </c>
      <c r="CZ309">
        <f>AE309</f>
        <v>1</v>
      </c>
      <c r="DA309">
        <f>AI309</f>
        <v>1</v>
      </c>
      <c r="DB309">
        <v>0</v>
      </c>
    </row>
    <row r="310" spans="1:106" x14ac:dyDescent="0.2">
      <c r="A310">
        <f>ROW(Source!A141)</f>
        <v>141</v>
      </c>
      <c r="B310">
        <v>39476960</v>
      </c>
      <c r="C310">
        <v>39487148</v>
      </c>
      <c r="D310">
        <v>37082223</v>
      </c>
      <c r="E310">
        <v>1</v>
      </c>
      <c r="F310">
        <v>1</v>
      </c>
      <c r="G310">
        <v>1</v>
      </c>
      <c r="H310">
        <v>1</v>
      </c>
      <c r="I310" t="s">
        <v>1114</v>
      </c>
      <c r="J310" t="s">
        <v>3</v>
      </c>
      <c r="K310" t="s">
        <v>1115</v>
      </c>
      <c r="L310">
        <v>1191</v>
      </c>
      <c r="N310">
        <v>1013</v>
      </c>
      <c r="O310" t="s">
        <v>796</v>
      </c>
      <c r="P310" t="s">
        <v>796</v>
      </c>
      <c r="Q310">
        <v>1</v>
      </c>
      <c r="W310">
        <v>0</v>
      </c>
      <c r="X310">
        <v>-2143564933</v>
      </c>
      <c r="Y310">
        <v>0.5</v>
      </c>
      <c r="AA310">
        <v>0</v>
      </c>
      <c r="AB310">
        <v>0</v>
      </c>
      <c r="AC310">
        <v>0</v>
      </c>
      <c r="AD310">
        <v>59.83</v>
      </c>
      <c r="AE310">
        <v>0</v>
      </c>
      <c r="AF310">
        <v>0</v>
      </c>
      <c r="AG310">
        <v>0</v>
      </c>
      <c r="AH310">
        <v>9.76</v>
      </c>
      <c r="AI310">
        <v>1</v>
      </c>
      <c r="AJ310">
        <v>1</v>
      </c>
      <c r="AK310">
        <v>1</v>
      </c>
      <c r="AL310">
        <v>6.13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0.5</v>
      </c>
      <c r="AU310" t="s">
        <v>3</v>
      </c>
      <c r="AV310">
        <v>1</v>
      </c>
      <c r="AW310">
        <v>2</v>
      </c>
      <c r="AX310">
        <v>39487149</v>
      </c>
      <c r="AY310">
        <v>1</v>
      </c>
      <c r="AZ310">
        <v>0</v>
      </c>
      <c r="BA310">
        <v>292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Y310*Source!I141</f>
        <v>0.6</v>
      </c>
      <c r="CY310">
        <f>AD310</f>
        <v>59.83</v>
      </c>
      <c r="CZ310">
        <f>AH310</f>
        <v>9.76</v>
      </c>
      <c r="DA310">
        <f>AL310</f>
        <v>6.13</v>
      </c>
      <c r="DB310">
        <v>0</v>
      </c>
    </row>
    <row r="311" spans="1:106" x14ac:dyDescent="0.2">
      <c r="A311">
        <f>ROW(Source!A141)</f>
        <v>141</v>
      </c>
      <c r="B311">
        <v>39476960</v>
      </c>
      <c r="C311">
        <v>39487148</v>
      </c>
      <c r="D311">
        <v>36804944</v>
      </c>
      <c r="E311">
        <v>1</v>
      </c>
      <c r="F311">
        <v>1</v>
      </c>
      <c r="G311">
        <v>1</v>
      </c>
      <c r="H311">
        <v>3</v>
      </c>
      <c r="I311" t="s">
        <v>1116</v>
      </c>
      <c r="J311" t="s">
        <v>1117</v>
      </c>
      <c r="K311" t="s">
        <v>1118</v>
      </c>
      <c r="L311">
        <v>1348</v>
      </c>
      <c r="N311">
        <v>1009</v>
      </c>
      <c r="O311" t="s">
        <v>34</v>
      </c>
      <c r="P311" t="s">
        <v>34</v>
      </c>
      <c r="Q311">
        <v>1000</v>
      </c>
      <c r="W311">
        <v>0</v>
      </c>
      <c r="X311">
        <v>-1755229539</v>
      </c>
      <c r="Y311">
        <v>1.0000000000000001E-5</v>
      </c>
      <c r="AA311">
        <v>76195.899999999994</v>
      </c>
      <c r="AB311">
        <v>0</v>
      </c>
      <c r="AC311">
        <v>0</v>
      </c>
      <c r="AD311">
        <v>0</v>
      </c>
      <c r="AE311">
        <v>12430</v>
      </c>
      <c r="AF311">
        <v>0</v>
      </c>
      <c r="AG311">
        <v>0</v>
      </c>
      <c r="AH311">
        <v>0</v>
      </c>
      <c r="AI311">
        <v>6.13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1.0000000000000001E-5</v>
      </c>
      <c r="AU311" t="s">
        <v>3</v>
      </c>
      <c r="AV311">
        <v>0</v>
      </c>
      <c r="AW311">
        <v>2</v>
      </c>
      <c r="AX311">
        <v>39487150</v>
      </c>
      <c r="AY311">
        <v>1</v>
      </c>
      <c r="AZ311">
        <v>0</v>
      </c>
      <c r="BA311">
        <v>293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Y311*Source!I141</f>
        <v>1.2E-5</v>
      </c>
      <c r="CY311">
        <f>AA311</f>
        <v>76195.899999999994</v>
      </c>
      <c r="CZ311">
        <f>AE311</f>
        <v>12430</v>
      </c>
      <c r="DA311">
        <f>AI311</f>
        <v>6.13</v>
      </c>
      <c r="DB311">
        <v>0</v>
      </c>
    </row>
    <row r="312" spans="1:106" x14ac:dyDescent="0.2">
      <c r="A312">
        <f>ROW(Source!A141)</f>
        <v>141</v>
      </c>
      <c r="B312">
        <v>39476960</v>
      </c>
      <c r="C312">
        <v>39487148</v>
      </c>
      <c r="D312">
        <v>36806488</v>
      </c>
      <c r="E312">
        <v>1</v>
      </c>
      <c r="F312">
        <v>1</v>
      </c>
      <c r="G312">
        <v>1</v>
      </c>
      <c r="H312">
        <v>3</v>
      </c>
      <c r="I312" t="s">
        <v>931</v>
      </c>
      <c r="J312" t="s">
        <v>932</v>
      </c>
      <c r="K312" t="s">
        <v>933</v>
      </c>
      <c r="L312">
        <v>1348</v>
      </c>
      <c r="N312">
        <v>1009</v>
      </c>
      <c r="O312" t="s">
        <v>34</v>
      </c>
      <c r="P312" t="s">
        <v>34</v>
      </c>
      <c r="Q312">
        <v>1000</v>
      </c>
      <c r="W312">
        <v>0</v>
      </c>
      <c r="X312">
        <v>-1421715385</v>
      </c>
      <c r="Y312">
        <v>5.0000000000000002E-5</v>
      </c>
      <c r="AA312">
        <v>4474.78</v>
      </c>
      <c r="AB312">
        <v>0</v>
      </c>
      <c r="AC312">
        <v>0</v>
      </c>
      <c r="AD312">
        <v>0</v>
      </c>
      <c r="AE312">
        <v>729.98</v>
      </c>
      <c r="AF312">
        <v>0</v>
      </c>
      <c r="AG312">
        <v>0</v>
      </c>
      <c r="AH312">
        <v>0</v>
      </c>
      <c r="AI312">
        <v>6.13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5.0000000000000002E-5</v>
      </c>
      <c r="AU312" t="s">
        <v>3</v>
      </c>
      <c r="AV312">
        <v>0</v>
      </c>
      <c r="AW312">
        <v>2</v>
      </c>
      <c r="AX312">
        <v>39487151</v>
      </c>
      <c r="AY312">
        <v>1</v>
      </c>
      <c r="AZ312">
        <v>0</v>
      </c>
      <c r="BA312">
        <v>294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Y312*Source!I141</f>
        <v>6.0000000000000002E-5</v>
      </c>
      <c r="CY312">
        <f>AA312</f>
        <v>4474.78</v>
      </c>
      <c r="CZ312">
        <f>AE312</f>
        <v>729.98</v>
      </c>
      <c r="DA312">
        <f>AI312</f>
        <v>6.13</v>
      </c>
      <c r="DB312">
        <v>0</v>
      </c>
    </row>
    <row r="313" spans="1:106" x14ac:dyDescent="0.2">
      <c r="A313">
        <f>ROW(Source!A141)</f>
        <v>141</v>
      </c>
      <c r="B313">
        <v>39476960</v>
      </c>
      <c r="C313">
        <v>39487148</v>
      </c>
      <c r="D313">
        <v>36825637</v>
      </c>
      <c r="E313">
        <v>1</v>
      </c>
      <c r="F313">
        <v>1</v>
      </c>
      <c r="G313">
        <v>1</v>
      </c>
      <c r="H313">
        <v>3</v>
      </c>
      <c r="I313" t="s">
        <v>1119</v>
      </c>
      <c r="J313" t="s">
        <v>1120</v>
      </c>
      <c r="K313" t="s">
        <v>1121</v>
      </c>
      <c r="L313">
        <v>1348</v>
      </c>
      <c r="N313">
        <v>1009</v>
      </c>
      <c r="O313" t="s">
        <v>34</v>
      </c>
      <c r="P313" t="s">
        <v>34</v>
      </c>
      <c r="Q313">
        <v>1000</v>
      </c>
      <c r="W313">
        <v>0</v>
      </c>
      <c r="X313">
        <v>-1328921133</v>
      </c>
      <c r="Y313">
        <v>1.0000000000000001E-5</v>
      </c>
      <c r="AA313">
        <v>90049.7</v>
      </c>
      <c r="AB313">
        <v>0</v>
      </c>
      <c r="AC313">
        <v>0</v>
      </c>
      <c r="AD313">
        <v>0</v>
      </c>
      <c r="AE313">
        <v>14690</v>
      </c>
      <c r="AF313">
        <v>0</v>
      </c>
      <c r="AG313">
        <v>0</v>
      </c>
      <c r="AH313">
        <v>0</v>
      </c>
      <c r="AI313">
        <v>6.13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1.0000000000000001E-5</v>
      </c>
      <c r="AU313" t="s">
        <v>3</v>
      </c>
      <c r="AV313">
        <v>0</v>
      </c>
      <c r="AW313">
        <v>2</v>
      </c>
      <c r="AX313">
        <v>39487152</v>
      </c>
      <c r="AY313">
        <v>1</v>
      </c>
      <c r="AZ313">
        <v>0</v>
      </c>
      <c r="BA313">
        <v>295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Y313*Source!I141</f>
        <v>1.2E-5</v>
      </c>
      <c r="CY313">
        <f>AA313</f>
        <v>90049.7</v>
      </c>
      <c r="CZ313">
        <f>AE313</f>
        <v>14690</v>
      </c>
      <c r="DA313">
        <f>AI313</f>
        <v>6.13</v>
      </c>
      <c r="DB313">
        <v>0</v>
      </c>
    </row>
    <row r="314" spans="1:106" x14ac:dyDescent="0.2">
      <c r="A314">
        <f>ROW(Source!A141)</f>
        <v>141</v>
      </c>
      <c r="B314">
        <v>39476960</v>
      </c>
      <c r="C314">
        <v>39487148</v>
      </c>
      <c r="D314">
        <v>36855483</v>
      </c>
      <c r="E314">
        <v>1</v>
      </c>
      <c r="F314">
        <v>1</v>
      </c>
      <c r="G314">
        <v>1</v>
      </c>
      <c r="H314">
        <v>3</v>
      </c>
      <c r="I314" t="s">
        <v>158</v>
      </c>
      <c r="J314" t="s">
        <v>161</v>
      </c>
      <c r="K314" t="s">
        <v>159</v>
      </c>
      <c r="L314">
        <v>1358</v>
      </c>
      <c r="N314">
        <v>1010</v>
      </c>
      <c r="O314" t="s">
        <v>160</v>
      </c>
      <c r="P314" t="s">
        <v>160</v>
      </c>
      <c r="Q314">
        <v>10</v>
      </c>
      <c r="W314">
        <v>0</v>
      </c>
      <c r="X314">
        <v>1317278185</v>
      </c>
      <c r="Y314">
        <v>0.1</v>
      </c>
      <c r="AA314">
        <v>209.65</v>
      </c>
      <c r="AB314">
        <v>0</v>
      </c>
      <c r="AC314">
        <v>0</v>
      </c>
      <c r="AD314">
        <v>0</v>
      </c>
      <c r="AE314">
        <v>34.200000000000003</v>
      </c>
      <c r="AF314">
        <v>0</v>
      </c>
      <c r="AG314">
        <v>0</v>
      </c>
      <c r="AH314">
        <v>0</v>
      </c>
      <c r="AI314">
        <v>6.13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3</v>
      </c>
      <c r="AT314">
        <v>0.1</v>
      </c>
      <c r="AU314" t="s">
        <v>3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3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Y314*Source!I141</f>
        <v>0.12</v>
      </c>
      <c r="CY314">
        <f>AA314</f>
        <v>209.65</v>
      </c>
      <c r="CZ314">
        <f>AE314</f>
        <v>34.200000000000003</v>
      </c>
      <c r="DA314">
        <f>AI314</f>
        <v>6.13</v>
      </c>
      <c r="DB314">
        <v>0</v>
      </c>
    </row>
    <row r="315" spans="1:106" x14ac:dyDescent="0.2">
      <c r="A315">
        <f>ROW(Source!A141)</f>
        <v>141</v>
      </c>
      <c r="B315">
        <v>39476960</v>
      </c>
      <c r="C315">
        <v>39487148</v>
      </c>
      <c r="D315">
        <v>36799065</v>
      </c>
      <c r="E315">
        <v>17</v>
      </c>
      <c r="F315">
        <v>1</v>
      </c>
      <c r="G315">
        <v>1</v>
      </c>
      <c r="H315">
        <v>3</v>
      </c>
      <c r="I315" t="s">
        <v>1099</v>
      </c>
      <c r="J315" t="s">
        <v>3</v>
      </c>
      <c r="K315" t="s">
        <v>1100</v>
      </c>
      <c r="L315">
        <v>1374</v>
      </c>
      <c r="N315">
        <v>1013</v>
      </c>
      <c r="O315" t="s">
        <v>1101</v>
      </c>
      <c r="P315" t="s">
        <v>1101</v>
      </c>
      <c r="Q315">
        <v>1</v>
      </c>
      <c r="W315">
        <v>0</v>
      </c>
      <c r="X315">
        <v>-1731369543</v>
      </c>
      <c r="Y315">
        <v>0.1</v>
      </c>
      <c r="AA315">
        <v>1</v>
      </c>
      <c r="AB315">
        <v>0</v>
      </c>
      <c r="AC315">
        <v>0</v>
      </c>
      <c r="AD315">
        <v>0</v>
      </c>
      <c r="AE315">
        <v>1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0.1</v>
      </c>
      <c r="AU315" t="s">
        <v>3</v>
      </c>
      <c r="AV315">
        <v>0</v>
      </c>
      <c r="AW315">
        <v>2</v>
      </c>
      <c r="AX315">
        <v>39487153</v>
      </c>
      <c r="AY315">
        <v>1</v>
      </c>
      <c r="AZ315">
        <v>0</v>
      </c>
      <c r="BA315">
        <v>296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Y315*Source!I141</f>
        <v>0.12</v>
      </c>
      <c r="CY315">
        <f>AA315</f>
        <v>1</v>
      </c>
      <c r="CZ315">
        <f>AE315</f>
        <v>1</v>
      </c>
      <c r="DA315">
        <f>AI315</f>
        <v>1</v>
      </c>
      <c r="DB315">
        <v>0</v>
      </c>
    </row>
    <row r="316" spans="1:106" x14ac:dyDescent="0.2">
      <c r="A316">
        <f>ROW(Source!A143)</f>
        <v>143</v>
      </c>
      <c r="B316">
        <v>39476960</v>
      </c>
      <c r="C316">
        <v>39478382</v>
      </c>
      <c r="D316">
        <v>37077359</v>
      </c>
      <c r="E316">
        <v>1</v>
      </c>
      <c r="F316">
        <v>1</v>
      </c>
      <c r="G316">
        <v>1</v>
      </c>
      <c r="H316">
        <v>1</v>
      </c>
      <c r="I316" t="s">
        <v>1122</v>
      </c>
      <c r="J316" t="s">
        <v>3</v>
      </c>
      <c r="K316" t="s">
        <v>1123</v>
      </c>
      <c r="L316">
        <v>1191</v>
      </c>
      <c r="N316">
        <v>1013</v>
      </c>
      <c r="O316" t="s">
        <v>796</v>
      </c>
      <c r="P316" t="s">
        <v>796</v>
      </c>
      <c r="Q316">
        <v>1</v>
      </c>
      <c r="W316">
        <v>0</v>
      </c>
      <c r="X316">
        <v>-362667798</v>
      </c>
      <c r="Y316">
        <v>1.08</v>
      </c>
      <c r="AA316">
        <v>0</v>
      </c>
      <c r="AB316">
        <v>0</v>
      </c>
      <c r="AC316">
        <v>0</v>
      </c>
      <c r="AD316">
        <v>64.37</v>
      </c>
      <c r="AE316">
        <v>0</v>
      </c>
      <c r="AF316">
        <v>0</v>
      </c>
      <c r="AG316">
        <v>0</v>
      </c>
      <c r="AH316">
        <v>10.5</v>
      </c>
      <c r="AI316">
        <v>1</v>
      </c>
      <c r="AJ316">
        <v>1</v>
      </c>
      <c r="AK316">
        <v>1</v>
      </c>
      <c r="AL316">
        <v>6.13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0.9</v>
      </c>
      <c r="AU316" t="s">
        <v>371</v>
      </c>
      <c r="AV316">
        <v>1</v>
      </c>
      <c r="AW316">
        <v>2</v>
      </c>
      <c r="AX316">
        <v>39478391</v>
      </c>
      <c r="AY316">
        <v>1</v>
      </c>
      <c r="AZ316">
        <v>0</v>
      </c>
      <c r="BA316">
        <v>297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Y316*Source!I143</f>
        <v>4.32</v>
      </c>
      <c r="CY316">
        <f>AD316</f>
        <v>64.37</v>
      </c>
      <c r="CZ316">
        <f>AH316</f>
        <v>10.5</v>
      </c>
      <c r="DA316">
        <f>AL316</f>
        <v>6.13</v>
      </c>
      <c r="DB316">
        <v>0</v>
      </c>
    </row>
    <row r="317" spans="1:106" x14ac:dyDescent="0.2">
      <c r="A317">
        <f>ROW(Source!A143)</f>
        <v>143</v>
      </c>
      <c r="B317">
        <v>39476960</v>
      </c>
      <c r="C317">
        <v>39478382</v>
      </c>
      <c r="D317">
        <v>37064876</v>
      </c>
      <c r="E317">
        <v>1</v>
      </c>
      <c r="F317">
        <v>1</v>
      </c>
      <c r="G317">
        <v>1</v>
      </c>
      <c r="H317">
        <v>1</v>
      </c>
      <c r="I317" t="s">
        <v>797</v>
      </c>
      <c r="J317" t="s">
        <v>3</v>
      </c>
      <c r="K317" t="s">
        <v>798</v>
      </c>
      <c r="L317">
        <v>1191</v>
      </c>
      <c r="N317">
        <v>1013</v>
      </c>
      <c r="O317" t="s">
        <v>796</v>
      </c>
      <c r="P317" t="s">
        <v>796</v>
      </c>
      <c r="Q317">
        <v>1</v>
      </c>
      <c r="W317">
        <v>0</v>
      </c>
      <c r="X317">
        <v>-1417349443</v>
      </c>
      <c r="Y317">
        <v>0.2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6.13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0.2</v>
      </c>
      <c r="AU317" t="s">
        <v>3</v>
      </c>
      <c r="AV317">
        <v>2</v>
      </c>
      <c r="AW317">
        <v>2</v>
      </c>
      <c r="AX317">
        <v>39478392</v>
      </c>
      <c r="AY317">
        <v>1</v>
      </c>
      <c r="AZ317">
        <v>2048</v>
      </c>
      <c r="BA317">
        <v>298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Y317*Source!I143</f>
        <v>0.8</v>
      </c>
      <c r="CY317">
        <f>AD317</f>
        <v>0</v>
      </c>
      <c r="CZ317">
        <f>AH317</f>
        <v>0</v>
      </c>
      <c r="DA317">
        <f>AL317</f>
        <v>1</v>
      </c>
      <c r="DB317">
        <v>0</v>
      </c>
    </row>
    <row r="318" spans="1:106" x14ac:dyDescent="0.2">
      <c r="A318">
        <f>ROW(Source!A143)</f>
        <v>143</v>
      </c>
      <c r="B318">
        <v>39476960</v>
      </c>
      <c r="C318">
        <v>39478382</v>
      </c>
      <c r="D318">
        <v>36882159</v>
      </c>
      <c r="E318">
        <v>1</v>
      </c>
      <c r="F318">
        <v>1</v>
      </c>
      <c r="G318">
        <v>1</v>
      </c>
      <c r="H318">
        <v>2</v>
      </c>
      <c r="I318" t="s">
        <v>825</v>
      </c>
      <c r="J318" t="s">
        <v>826</v>
      </c>
      <c r="K318" t="s">
        <v>827</v>
      </c>
      <c r="L318">
        <v>1368</v>
      </c>
      <c r="N318">
        <v>1011</v>
      </c>
      <c r="O318" t="s">
        <v>802</v>
      </c>
      <c r="P318" t="s">
        <v>802</v>
      </c>
      <c r="Q318">
        <v>1</v>
      </c>
      <c r="W318">
        <v>0</v>
      </c>
      <c r="X318">
        <v>-1718674368</v>
      </c>
      <c r="Y318">
        <v>0.12</v>
      </c>
      <c r="AA318">
        <v>0</v>
      </c>
      <c r="AB318">
        <v>686.5</v>
      </c>
      <c r="AC318">
        <v>13.5</v>
      </c>
      <c r="AD318">
        <v>0</v>
      </c>
      <c r="AE318">
        <v>0</v>
      </c>
      <c r="AF318">
        <v>111.99</v>
      </c>
      <c r="AG318">
        <v>13.5</v>
      </c>
      <c r="AH318">
        <v>0</v>
      </c>
      <c r="AI318">
        <v>1</v>
      </c>
      <c r="AJ318">
        <v>6.13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0.1</v>
      </c>
      <c r="AU318" t="s">
        <v>371</v>
      </c>
      <c r="AV318">
        <v>0</v>
      </c>
      <c r="AW318">
        <v>2</v>
      </c>
      <c r="AX318">
        <v>39478393</v>
      </c>
      <c r="AY318">
        <v>1</v>
      </c>
      <c r="AZ318">
        <v>0</v>
      </c>
      <c r="BA318">
        <v>299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Y318*Source!I143</f>
        <v>0.48</v>
      </c>
      <c r="CY318">
        <f>AB318</f>
        <v>686.5</v>
      </c>
      <c r="CZ318">
        <f>AF318</f>
        <v>111.99</v>
      </c>
      <c r="DA318">
        <f>AJ318</f>
        <v>6.13</v>
      </c>
      <c r="DB318">
        <v>0</v>
      </c>
    </row>
    <row r="319" spans="1:106" x14ac:dyDescent="0.2">
      <c r="A319">
        <f>ROW(Source!A143)</f>
        <v>143</v>
      </c>
      <c r="B319">
        <v>39476960</v>
      </c>
      <c r="C319">
        <v>39478382</v>
      </c>
      <c r="D319">
        <v>36883554</v>
      </c>
      <c r="E319">
        <v>1</v>
      </c>
      <c r="F319">
        <v>1</v>
      </c>
      <c r="G319">
        <v>1</v>
      </c>
      <c r="H319">
        <v>2</v>
      </c>
      <c r="I319" t="s">
        <v>834</v>
      </c>
      <c r="J319" t="s">
        <v>835</v>
      </c>
      <c r="K319" t="s">
        <v>836</v>
      </c>
      <c r="L319">
        <v>1368</v>
      </c>
      <c r="N319">
        <v>1011</v>
      </c>
      <c r="O319" t="s">
        <v>802</v>
      </c>
      <c r="P319" t="s">
        <v>802</v>
      </c>
      <c r="Q319">
        <v>1</v>
      </c>
      <c r="W319">
        <v>0</v>
      </c>
      <c r="X319">
        <v>1372534845</v>
      </c>
      <c r="Y319">
        <v>0.12</v>
      </c>
      <c r="AA319">
        <v>0</v>
      </c>
      <c r="AB319">
        <v>402.8</v>
      </c>
      <c r="AC319">
        <v>11.6</v>
      </c>
      <c r="AD319">
        <v>0</v>
      </c>
      <c r="AE319">
        <v>0</v>
      </c>
      <c r="AF319">
        <v>65.709999999999994</v>
      </c>
      <c r="AG319">
        <v>11.6</v>
      </c>
      <c r="AH319">
        <v>0</v>
      </c>
      <c r="AI319">
        <v>1</v>
      </c>
      <c r="AJ319">
        <v>6.13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0.1</v>
      </c>
      <c r="AU319" t="s">
        <v>371</v>
      </c>
      <c r="AV319">
        <v>0</v>
      </c>
      <c r="AW319">
        <v>2</v>
      </c>
      <c r="AX319">
        <v>39478394</v>
      </c>
      <c r="AY319">
        <v>1</v>
      </c>
      <c r="AZ319">
        <v>0</v>
      </c>
      <c r="BA319">
        <v>300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Y319*Source!I143</f>
        <v>0.48</v>
      </c>
      <c r="CY319">
        <f>AB319</f>
        <v>402.8</v>
      </c>
      <c r="CZ319">
        <f>AF319</f>
        <v>65.709999999999994</v>
      </c>
      <c r="DA319">
        <f>AJ319</f>
        <v>6.13</v>
      </c>
      <c r="DB319">
        <v>0</v>
      </c>
    </row>
    <row r="320" spans="1:106" x14ac:dyDescent="0.2">
      <c r="A320">
        <f>ROW(Source!A143)</f>
        <v>143</v>
      </c>
      <c r="B320">
        <v>39476960</v>
      </c>
      <c r="C320">
        <v>39478382</v>
      </c>
      <c r="D320">
        <v>36802094</v>
      </c>
      <c r="E320">
        <v>1</v>
      </c>
      <c r="F320">
        <v>1</v>
      </c>
      <c r="G320">
        <v>1</v>
      </c>
      <c r="H320">
        <v>3</v>
      </c>
      <c r="I320" t="s">
        <v>1084</v>
      </c>
      <c r="J320" t="s">
        <v>1085</v>
      </c>
      <c r="K320" t="s">
        <v>1086</v>
      </c>
      <c r="L320">
        <v>1346</v>
      </c>
      <c r="N320">
        <v>1009</v>
      </c>
      <c r="O320" t="s">
        <v>217</v>
      </c>
      <c r="P320" t="s">
        <v>217</v>
      </c>
      <c r="Q320">
        <v>1</v>
      </c>
      <c r="W320">
        <v>0</v>
      </c>
      <c r="X320">
        <v>-1088866022</v>
      </c>
      <c r="Y320">
        <v>0.01</v>
      </c>
      <c r="AA320">
        <v>186.35</v>
      </c>
      <c r="AB320">
        <v>0</v>
      </c>
      <c r="AC320">
        <v>0</v>
      </c>
      <c r="AD320">
        <v>0</v>
      </c>
      <c r="AE320">
        <v>30.4</v>
      </c>
      <c r="AF320">
        <v>0</v>
      </c>
      <c r="AG320">
        <v>0</v>
      </c>
      <c r="AH320">
        <v>0</v>
      </c>
      <c r="AI320">
        <v>6.13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3</v>
      </c>
      <c r="AT320">
        <v>0.01</v>
      </c>
      <c r="AU320" t="s">
        <v>3</v>
      </c>
      <c r="AV320">
        <v>0</v>
      </c>
      <c r="AW320">
        <v>2</v>
      </c>
      <c r="AX320">
        <v>39478395</v>
      </c>
      <c r="AY320">
        <v>1</v>
      </c>
      <c r="AZ320">
        <v>0</v>
      </c>
      <c r="BA320">
        <v>301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Y320*Source!I143</f>
        <v>0.04</v>
      </c>
      <c r="CY320">
        <f t="shared" ref="CY320:CY325" si="42">AA320</f>
        <v>186.35</v>
      </c>
      <c r="CZ320">
        <f t="shared" ref="CZ320:CZ325" si="43">AE320</f>
        <v>30.4</v>
      </c>
      <c r="DA320">
        <f t="shared" ref="DA320:DA325" si="44">AI320</f>
        <v>6.13</v>
      </c>
      <c r="DB320">
        <v>0</v>
      </c>
    </row>
    <row r="321" spans="1:106" x14ac:dyDescent="0.2">
      <c r="A321">
        <f>ROW(Source!A143)</f>
        <v>143</v>
      </c>
      <c r="B321">
        <v>39476960</v>
      </c>
      <c r="C321">
        <v>39478382</v>
      </c>
      <c r="D321">
        <v>36804448</v>
      </c>
      <c r="E321">
        <v>1</v>
      </c>
      <c r="F321">
        <v>1</v>
      </c>
      <c r="G321">
        <v>1</v>
      </c>
      <c r="H321">
        <v>3</v>
      </c>
      <c r="I321" t="s">
        <v>1124</v>
      </c>
      <c r="J321" t="s">
        <v>1125</v>
      </c>
      <c r="K321" t="s">
        <v>1083</v>
      </c>
      <c r="L321">
        <v>1346</v>
      </c>
      <c r="N321">
        <v>1009</v>
      </c>
      <c r="O321" t="s">
        <v>217</v>
      </c>
      <c r="P321" t="s">
        <v>217</v>
      </c>
      <c r="Q321">
        <v>1</v>
      </c>
      <c r="W321">
        <v>0</v>
      </c>
      <c r="X321">
        <v>103900845</v>
      </c>
      <c r="Y321">
        <v>0.3</v>
      </c>
      <c r="AA321">
        <v>55.42</v>
      </c>
      <c r="AB321">
        <v>0</v>
      </c>
      <c r="AC321">
        <v>0</v>
      </c>
      <c r="AD321">
        <v>0</v>
      </c>
      <c r="AE321">
        <v>9.0399999999999991</v>
      </c>
      <c r="AF321">
        <v>0</v>
      </c>
      <c r="AG321">
        <v>0</v>
      </c>
      <c r="AH321">
        <v>0</v>
      </c>
      <c r="AI321">
        <v>6.13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0.3</v>
      </c>
      <c r="AU321" t="s">
        <v>3</v>
      </c>
      <c r="AV321">
        <v>0</v>
      </c>
      <c r="AW321">
        <v>2</v>
      </c>
      <c r="AX321">
        <v>39478396</v>
      </c>
      <c r="AY321">
        <v>1</v>
      </c>
      <c r="AZ321">
        <v>0</v>
      </c>
      <c r="BA321">
        <v>302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Y321*Source!I143</f>
        <v>1.2</v>
      </c>
      <c r="CY321">
        <f t="shared" si="42"/>
        <v>55.42</v>
      </c>
      <c r="CZ321">
        <f t="shared" si="43"/>
        <v>9.0399999999999991</v>
      </c>
      <c r="DA321">
        <f t="shared" si="44"/>
        <v>6.13</v>
      </c>
      <c r="DB321">
        <v>0</v>
      </c>
    </row>
    <row r="322" spans="1:106" x14ac:dyDescent="0.2">
      <c r="A322">
        <f>ROW(Source!A143)</f>
        <v>143</v>
      </c>
      <c r="B322">
        <v>39476960</v>
      </c>
      <c r="C322">
        <v>39478382</v>
      </c>
      <c r="D322">
        <v>36825981</v>
      </c>
      <c r="E322">
        <v>1</v>
      </c>
      <c r="F322">
        <v>1</v>
      </c>
      <c r="G322">
        <v>1</v>
      </c>
      <c r="H322">
        <v>3</v>
      </c>
      <c r="I322" t="s">
        <v>1126</v>
      </c>
      <c r="J322" t="s">
        <v>1127</v>
      </c>
      <c r="K322" t="s">
        <v>1128</v>
      </c>
      <c r="L322">
        <v>1348</v>
      </c>
      <c r="N322">
        <v>1009</v>
      </c>
      <c r="O322" t="s">
        <v>34</v>
      </c>
      <c r="P322" t="s">
        <v>34</v>
      </c>
      <c r="Q322">
        <v>1000</v>
      </c>
      <c r="W322">
        <v>0</v>
      </c>
      <c r="X322">
        <v>-1598896989</v>
      </c>
      <c r="Y322">
        <v>5.9999999999999995E-4</v>
      </c>
      <c r="AA322">
        <v>30650</v>
      </c>
      <c r="AB322">
        <v>0</v>
      </c>
      <c r="AC322">
        <v>0</v>
      </c>
      <c r="AD322">
        <v>0</v>
      </c>
      <c r="AE322">
        <v>5000</v>
      </c>
      <c r="AF322">
        <v>0</v>
      </c>
      <c r="AG322">
        <v>0</v>
      </c>
      <c r="AH322">
        <v>0</v>
      </c>
      <c r="AI322">
        <v>6.13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5.9999999999999995E-4</v>
      </c>
      <c r="AU322" t="s">
        <v>3</v>
      </c>
      <c r="AV322">
        <v>0</v>
      </c>
      <c r="AW322">
        <v>2</v>
      </c>
      <c r="AX322">
        <v>39478397</v>
      </c>
      <c r="AY322">
        <v>1</v>
      </c>
      <c r="AZ322">
        <v>0</v>
      </c>
      <c r="BA322">
        <v>303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Y322*Source!I143</f>
        <v>2.3999999999999998E-3</v>
      </c>
      <c r="CY322">
        <f t="shared" si="42"/>
        <v>30650</v>
      </c>
      <c r="CZ322">
        <f t="shared" si="43"/>
        <v>5000</v>
      </c>
      <c r="DA322">
        <f t="shared" si="44"/>
        <v>6.13</v>
      </c>
      <c r="DB322">
        <v>0</v>
      </c>
    </row>
    <row r="323" spans="1:106" x14ac:dyDescent="0.2">
      <c r="A323">
        <f>ROW(Source!A143)</f>
        <v>143</v>
      </c>
      <c r="B323">
        <v>39476960</v>
      </c>
      <c r="C323">
        <v>39478382</v>
      </c>
      <c r="D323">
        <v>36855335</v>
      </c>
      <c r="E323">
        <v>1</v>
      </c>
      <c r="F323">
        <v>1</v>
      </c>
      <c r="G323">
        <v>1</v>
      </c>
      <c r="H323">
        <v>3</v>
      </c>
      <c r="I323" t="s">
        <v>413</v>
      </c>
      <c r="J323" t="s">
        <v>416</v>
      </c>
      <c r="K323" t="s">
        <v>414</v>
      </c>
      <c r="L323">
        <v>1354</v>
      </c>
      <c r="N323">
        <v>1010</v>
      </c>
      <c r="O323" t="s">
        <v>415</v>
      </c>
      <c r="P323" t="s">
        <v>415</v>
      </c>
      <c r="Q323">
        <v>1</v>
      </c>
      <c r="W323">
        <v>0</v>
      </c>
      <c r="X323">
        <v>-1595811547</v>
      </c>
      <c r="Y323">
        <v>0.75</v>
      </c>
      <c r="AA323">
        <v>1110.45</v>
      </c>
      <c r="AB323">
        <v>0</v>
      </c>
      <c r="AC323">
        <v>0</v>
      </c>
      <c r="AD323">
        <v>0</v>
      </c>
      <c r="AE323">
        <v>181.15</v>
      </c>
      <c r="AF323">
        <v>0</v>
      </c>
      <c r="AG323">
        <v>0</v>
      </c>
      <c r="AH323">
        <v>0</v>
      </c>
      <c r="AI323">
        <v>6.13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3</v>
      </c>
      <c r="AT323">
        <v>0.75</v>
      </c>
      <c r="AU323" t="s">
        <v>3</v>
      </c>
      <c r="AV323">
        <v>0</v>
      </c>
      <c r="AW323">
        <v>1</v>
      </c>
      <c r="AX323">
        <v>-1</v>
      </c>
      <c r="AY323">
        <v>0</v>
      </c>
      <c r="AZ323">
        <v>0</v>
      </c>
      <c r="BA323" t="s">
        <v>3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Y323*Source!I143</f>
        <v>3</v>
      </c>
      <c r="CY323">
        <f t="shared" si="42"/>
        <v>1110.45</v>
      </c>
      <c r="CZ323">
        <f t="shared" si="43"/>
        <v>181.15</v>
      </c>
      <c r="DA323">
        <f t="shared" si="44"/>
        <v>6.13</v>
      </c>
      <c r="DB323">
        <v>0</v>
      </c>
    </row>
    <row r="324" spans="1:106" x14ac:dyDescent="0.2">
      <c r="A324">
        <f>ROW(Source!A143)</f>
        <v>143</v>
      </c>
      <c r="B324">
        <v>39476960</v>
      </c>
      <c r="C324">
        <v>39478382</v>
      </c>
      <c r="D324">
        <v>36855337</v>
      </c>
      <c r="E324">
        <v>1</v>
      </c>
      <c r="F324">
        <v>1</v>
      </c>
      <c r="G324">
        <v>1</v>
      </c>
      <c r="H324">
        <v>3</v>
      </c>
      <c r="I324" t="s">
        <v>418</v>
      </c>
      <c r="J324" t="s">
        <v>420</v>
      </c>
      <c r="K324" t="s">
        <v>419</v>
      </c>
      <c r="L324">
        <v>1354</v>
      </c>
      <c r="N324">
        <v>1010</v>
      </c>
      <c r="O324" t="s">
        <v>415</v>
      </c>
      <c r="P324" t="s">
        <v>415</v>
      </c>
      <c r="Q324">
        <v>1</v>
      </c>
      <c r="W324">
        <v>0</v>
      </c>
      <c r="X324">
        <v>1074016231</v>
      </c>
      <c r="Y324">
        <v>0.25</v>
      </c>
      <c r="AA324">
        <v>1354.24</v>
      </c>
      <c r="AB324">
        <v>0</v>
      </c>
      <c r="AC324">
        <v>0</v>
      </c>
      <c r="AD324">
        <v>0</v>
      </c>
      <c r="AE324">
        <v>220.92</v>
      </c>
      <c r="AF324">
        <v>0</v>
      </c>
      <c r="AG324">
        <v>0</v>
      </c>
      <c r="AH324">
        <v>0</v>
      </c>
      <c r="AI324">
        <v>6.13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3</v>
      </c>
      <c r="AT324">
        <v>0.25</v>
      </c>
      <c r="AU324" t="s">
        <v>3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3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Y324*Source!I143</f>
        <v>1</v>
      </c>
      <c r="CY324">
        <f t="shared" si="42"/>
        <v>1354.24</v>
      </c>
      <c r="CZ324">
        <f t="shared" si="43"/>
        <v>220.92</v>
      </c>
      <c r="DA324">
        <f t="shared" si="44"/>
        <v>6.13</v>
      </c>
      <c r="DB324">
        <v>0</v>
      </c>
    </row>
    <row r="325" spans="1:106" x14ac:dyDescent="0.2">
      <c r="A325">
        <f>ROW(Source!A143)</f>
        <v>143</v>
      </c>
      <c r="B325">
        <v>39476960</v>
      </c>
      <c r="C325">
        <v>39478382</v>
      </c>
      <c r="D325">
        <v>36799065</v>
      </c>
      <c r="E325">
        <v>17</v>
      </c>
      <c r="F325">
        <v>1</v>
      </c>
      <c r="G325">
        <v>1</v>
      </c>
      <c r="H325">
        <v>3</v>
      </c>
      <c r="I325" t="s">
        <v>1099</v>
      </c>
      <c r="J325" t="s">
        <v>3</v>
      </c>
      <c r="K325" t="s">
        <v>1100</v>
      </c>
      <c r="L325">
        <v>1374</v>
      </c>
      <c r="N325">
        <v>1013</v>
      </c>
      <c r="O325" t="s">
        <v>1101</v>
      </c>
      <c r="P325" t="s">
        <v>1101</v>
      </c>
      <c r="Q325">
        <v>1</v>
      </c>
      <c r="W325">
        <v>0</v>
      </c>
      <c r="X325">
        <v>-1731369543</v>
      </c>
      <c r="Y325">
        <v>0.19</v>
      </c>
      <c r="AA325">
        <v>1</v>
      </c>
      <c r="AB325">
        <v>0</v>
      </c>
      <c r="AC325">
        <v>0</v>
      </c>
      <c r="AD325">
        <v>0</v>
      </c>
      <c r="AE325">
        <v>1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0.19</v>
      </c>
      <c r="AU325" t="s">
        <v>3</v>
      </c>
      <c r="AV325">
        <v>0</v>
      </c>
      <c r="AW325">
        <v>2</v>
      </c>
      <c r="AX325">
        <v>39478398</v>
      </c>
      <c r="AY325">
        <v>1</v>
      </c>
      <c r="AZ325">
        <v>0</v>
      </c>
      <c r="BA325">
        <v>304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Y325*Source!I143</f>
        <v>0.76</v>
      </c>
      <c r="CY325">
        <f t="shared" si="42"/>
        <v>1</v>
      </c>
      <c r="CZ325">
        <f t="shared" si="43"/>
        <v>1</v>
      </c>
      <c r="DA325">
        <f t="shared" si="44"/>
        <v>1</v>
      </c>
      <c r="DB325">
        <v>0</v>
      </c>
    </row>
    <row r="326" spans="1:106" x14ac:dyDescent="0.2">
      <c r="A326">
        <f>ROW(Source!A146)</f>
        <v>146</v>
      </c>
      <c r="B326">
        <v>39476960</v>
      </c>
      <c r="C326">
        <v>39478405</v>
      </c>
      <c r="D326">
        <v>37080781</v>
      </c>
      <c r="E326">
        <v>1</v>
      </c>
      <c r="F326">
        <v>1</v>
      </c>
      <c r="G326">
        <v>1</v>
      </c>
      <c r="H326">
        <v>1</v>
      </c>
      <c r="I326" t="s">
        <v>1129</v>
      </c>
      <c r="J326" t="s">
        <v>3</v>
      </c>
      <c r="K326" t="s">
        <v>1130</v>
      </c>
      <c r="L326">
        <v>1191</v>
      </c>
      <c r="N326">
        <v>1013</v>
      </c>
      <c r="O326" t="s">
        <v>796</v>
      </c>
      <c r="P326" t="s">
        <v>796</v>
      </c>
      <c r="Q326">
        <v>1</v>
      </c>
      <c r="W326">
        <v>0</v>
      </c>
      <c r="X326">
        <v>912892513</v>
      </c>
      <c r="Y326">
        <v>41.472000000000001</v>
      </c>
      <c r="AA326">
        <v>0</v>
      </c>
      <c r="AB326">
        <v>0</v>
      </c>
      <c r="AC326">
        <v>0</v>
      </c>
      <c r="AD326">
        <v>60.81</v>
      </c>
      <c r="AE326">
        <v>0</v>
      </c>
      <c r="AF326">
        <v>0</v>
      </c>
      <c r="AG326">
        <v>0</v>
      </c>
      <c r="AH326">
        <v>9.92</v>
      </c>
      <c r="AI326">
        <v>1</v>
      </c>
      <c r="AJ326">
        <v>1</v>
      </c>
      <c r="AK326">
        <v>1</v>
      </c>
      <c r="AL326">
        <v>6.13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34.56</v>
      </c>
      <c r="AU326" t="s">
        <v>371</v>
      </c>
      <c r="AV326">
        <v>1</v>
      </c>
      <c r="AW326">
        <v>2</v>
      </c>
      <c r="AX326">
        <v>39478406</v>
      </c>
      <c r="AY326">
        <v>1</v>
      </c>
      <c r="AZ326">
        <v>0</v>
      </c>
      <c r="BA326">
        <v>305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Y326*Source!I146</f>
        <v>4.9766399999999997</v>
      </c>
      <c r="CY326">
        <f>AD326</f>
        <v>60.81</v>
      </c>
      <c r="CZ326">
        <f>AH326</f>
        <v>9.92</v>
      </c>
      <c r="DA326">
        <f>AL326</f>
        <v>6.13</v>
      </c>
      <c r="DB326">
        <v>0</v>
      </c>
    </row>
    <row r="327" spans="1:106" x14ac:dyDescent="0.2">
      <c r="A327">
        <f>ROW(Source!A146)</f>
        <v>146</v>
      </c>
      <c r="B327">
        <v>39476960</v>
      </c>
      <c r="C327">
        <v>39478405</v>
      </c>
      <c r="D327">
        <v>37064876</v>
      </c>
      <c r="E327">
        <v>1</v>
      </c>
      <c r="F327">
        <v>1</v>
      </c>
      <c r="G327">
        <v>1</v>
      </c>
      <c r="H327">
        <v>1</v>
      </c>
      <c r="I327" t="s">
        <v>797</v>
      </c>
      <c r="J327" t="s">
        <v>3</v>
      </c>
      <c r="K327" t="s">
        <v>798</v>
      </c>
      <c r="L327">
        <v>1191</v>
      </c>
      <c r="N327">
        <v>1013</v>
      </c>
      <c r="O327" t="s">
        <v>796</v>
      </c>
      <c r="P327" t="s">
        <v>796</v>
      </c>
      <c r="Q327">
        <v>1</v>
      </c>
      <c r="W327">
        <v>0</v>
      </c>
      <c r="X327">
        <v>-1417349443</v>
      </c>
      <c r="Y327">
        <v>0.05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6.13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0.05</v>
      </c>
      <c r="AU327" t="s">
        <v>3</v>
      </c>
      <c r="AV327">
        <v>2</v>
      </c>
      <c r="AW327">
        <v>2</v>
      </c>
      <c r="AX327">
        <v>39478407</v>
      </c>
      <c r="AY327">
        <v>1</v>
      </c>
      <c r="AZ327">
        <v>2048</v>
      </c>
      <c r="BA327">
        <v>306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Y327*Source!I146</f>
        <v>6.0000000000000001E-3</v>
      </c>
      <c r="CY327">
        <f>AD327</f>
        <v>0</v>
      </c>
      <c r="CZ327">
        <f>AH327</f>
        <v>0</v>
      </c>
      <c r="DA327">
        <f>AL327</f>
        <v>1</v>
      </c>
      <c r="DB327">
        <v>0</v>
      </c>
    </row>
    <row r="328" spans="1:106" x14ac:dyDescent="0.2">
      <c r="A328">
        <f>ROW(Source!A146)</f>
        <v>146</v>
      </c>
      <c r="B328">
        <v>39476960</v>
      </c>
      <c r="C328">
        <v>39478405</v>
      </c>
      <c r="D328">
        <v>36882159</v>
      </c>
      <c r="E328">
        <v>1</v>
      </c>
      <c r="F328">
        <v>1</v>
      </c>
      <c r="G328">
        <v>1</v>
      </c>
      <c r="H328">
        <v>2</v>
      </c>
      <c r="I328" t="s">
        <v>825</v>
      </c>
      <c r="J328" t="s">
        <v>826</v>
      </c>
      <c r="K328" t="s">
        <v>827</v>
      </c>
      <c r="L328">
        <v>1368</v>
      </c>
      <c r="N328">
        <v>1011</v>
      </c>
      <c r="O328" t="s">
        <v>802</v>
      </c>
      <c r="P328" t="s">
        <v>802</v>
      </c>
      <c r="Q328">
        <v>1</v>
      </c>
      <c r="W328">
        <v>0</v>
      </c>
      <c r="X328">
        <v>-1718674368</v>
      </c>
      <c r="Y328">
        <v>3.5999999999999997E-2</v>
      </c>
      <c r="AA328">
        <v>0</v>
      </c>
      <c r="AB328">
        <v>686.5</v>
      </c>
      <c r="AC328">
        <v>13.5</v>
      </c>
      <c r="AD328">
        <v>0</v>
      </c>
      <c r="AE328">
        <v>0</v>
      </c>
      <c r="AF328">
        <v>111.99</v>
      </c>
      <c r="AG328">
        <v>13.5</v>
      </c>
      <c r="AH328">
        <v>0</v>
      </c>
      <c r="AI328">
        <v>1</v>
      </c>
      <c r="AJ328">
        <v>6.13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0.03</v>
      </c>
      <c r="AU328" t="s">
        <v>371</v>
      </c>
      <c r="AV328">
        <v>0</v>
      </c>
      <c r="AW328">
        <v>2</v>
      </c>
      <c r="AX328">
        <v>39478408</v>
      </c>
      <c r="AY328">
        <v>1</v>
      </c>
      <c r="AZ328">
        <v>0</v>
      </c>
      <c r="BA328">
        <v>307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Y328*Source!I146</f>
        <v>4.3199999999999992E-3</v>
      </c>
      <c r="CY328">
        <f>AB328</f>
        <v>686.5</v>
      </c>
      <c r="CZ328">
        <f>AF328</f>
        <v>111.99</v>
      </c>
      <c r="DA328">
        <f>AJ328</f>
        <v>6.13</v>
      </c>
      <c r="DB328">
        <v>0</v>
      </c>
    </row>
    <row r="329" spans="1:106" x14ac:dyDescent="0.2">
      <c r="A329">
        <f>ROW(Source!A146)</f>
        <v>146</v>
      </c>
      <c r="B329">
        <v>39476960</v>
      </c>
      <c r="C329">
        <v>39478405</v>
      </c>
      <c r="D329">
        <v>36883554</v>
      </c>
      <c r="E329">
        <v>1</v>
      </c>
      <c r="F329">
        <v>1</v>
      </c>
      <c r="G329">
        <v>1</v>
      </c>
      <c r="H329">
        <v>2</v>
      </c>
      <c r="I329" t="s">
        <v>834</v>
      </c>
      <c r="J329" t="s">
        <v>835</v>
      </c>
      <c r="K329" t="s">
        <v>836</v>
      </c>
      <c r="L329">
        <v>1368</v>
      </c>
      <c r="N329">
        <v>1011</v>
      </c>
      <c r="O329" t="s">
        <v>802</v>
      </c>
      <c r="P329" t="s">
        <v>802</v>
      </c>
      <c r="Q329">
        <v>1</v>
      </c>
      <c r="W329">
        <v>0</v>
      </c>
      <c r="X329">
        <v>1372534845</v>
      </c>
      <c r="Y329">
        <v>2.4E-2</v>
      </c>
      <c r="AA329">
        <v>0</v>
      </c>
      <c r="AB329">
        <v>402.8</v>
      </c>
      <c r="AC329">
        <v>11.6</v>
      </c>
      <c r="AD329">
        <v>0</v>
      </c>
      <c r="AE329">
        <v>0</v>
      </c>
      <c r="AF329">
        <v>65.709999999999994</v>
      </c>
      <c r="AG329">
        <v>11.6</v>
      </c>
      <c r="AH329">
        <v>0</v>
      </c>
      <c r="AI329">
        <v>1</v>
      </c>
      <c r="AJ329">
        <v>6.13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0.02</v>
      </c>
      <c r="AU329" t="s">
        <v>371</v>
      </c>
      <c r="AV329">
        <v>0</v>
      </c>
      <c r="AW329">
        <v>2</v>
      </c>
      <c r="AX329">
        <v>39478409</v>
      </c>
      <c r="AY329">
        <v>1</v>
      </c>
      <c r="AZ329">
        <v>0</v>
      </c>
      <c r="BA329">
        <v>308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Y329*Source!I146</f>
        <v>2.8799999999999997E-3</v>
      </c>
      <c r="CY329">
        <f>AB329</f>
        <v>402.8</v>
      </c>
      <c r="CZ329">
        <f>AF329</f>
        <v>65.709999999999994</v>
      </c>
      <c r="DA329">
        <f>AJ329</f>
        <v>6.13</v>
      </c>
      <c r="DB329">
        <v>0</v>
      </c>
    </row>
    <row r="330" spans="1:106" x14ac:dyDescent="0.2">
      <c r="A330">
        <f>ROW(Source!A146)</f>
        <v>146</v>
      </c>
      <c r="B330">
        <v>39476960</v>
      </c>
      <c r="C330">
        <v>39478405</v>
      </c>
      <c r="D330">
        <v>36802094</v>
      </c>
      <c r="E330">
        <v>1</v>
      </c>
      <c r="F330">
        <v>1</v>
      </c>
      <c r="G330">
        <v>1</v>
      </c>
      <c r="H330">
        <v>3</v>
      </c>
      <c r="I330" t="s">
        <v>1084</v>
      </c>
      <c r="J330" t="s">
        <v>1085</v>
      </c>
      <c r="K330" t="s">
        <v>1086</v>
      </c>
      <c r="L330">
        <v>1346</v>
      </c>
      <c r="N330">
        <v>1009</v>
      </c>
      <c r="O330" t="s">
        <v>217</v>
      </c>
      <c r="P330" t="s">
        <v>217</v>
      </c>
      <c r="Q330">
        <v>1</v>
      </c>
      <c r="W330">
        <v>0</v>
      </c>
      <c r="X330">
        <v>-1088866022</v>
      </c>
      <c r="Y330">
        <v>0.11</v>
      </c>
      <c r="AA330">
        <v>186.35</v>
      </c>
      <c r="AB330">
        <v>0</v>
      </c>
      <c r="AC330">
        <v>0</v>
      </c>
      <c r="AD330">
        <v>0</v>
      </c>
      <c r="AE330">
        <v>30.4</v>
      </c>
      <c r="AF330">
        <v>0</v>
      </c>
      <c r="AG330">
        <v>0</v>
      </c>
      <c r="AH330">
        <v>0</v>
      </c>
      <c r="AI330">
        <v>6.13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0.11</v>
      </c>
      <c r="AU330" t="s">
        <v>3</v>
      </c>
      <c r="AV330">
        <v>0</v>
      </c>
      <c r="AW330">
        <v>2</v>
      </c>
      <c r="AX330">
        <v>39478410</v>
      </c>
      <c r="AY330">
        <v>1</v>
      </c>
      <c r="AZ330">
        <v>0</v>
      </c>
      <c r="BA330">
        <v>309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Y330*Source!I146</f>
        <v>1.32E-2</v>
      </c>
      <c r="CY330">
        <f t="shared" ref="CY330:CY335" si="45">AA330</f>
        <v>186.35</v>
      </c>
      <c r="CZ330">
        <f t="shared" ref="CZ330:CZ335" si="46">AE330</f>
        <v>30.4</v>
      </c>
      <c r="DA330">
        <f t="shared" ref="DA330:DA335" si="47">AI330</f>
        <v>6.13</v>
      </c>
      <c r="DB330">
        <v>0</v>
      </c>
    </row>
    <row r="331" spans="1:106" x14ac:dyDescent="0.2">
      <c r="A331">
        <f>ROW(Source!A146)</f>
        <v>146</v>
      </c>
      <c r="B331">
        <v>39476960</v>
      </c>
      <c r="C331">
        <v>39478405</v>
      </c>
      <c r="D331">
        <v>36804580</v>
      </c>
      <c r="E331">
        <v>1</v>
      </c>
      <c r="F331">
        <v>1</v>
      </c>
      <c r="G331">
        <v>1</v>
      </c>
      <c r="H331">
        <v>3</v>
      </c>
      <c r="I331" t="s">
        <v>1131</v>
      </c>
      <c r="J331" t="s">
        <v>1132</v>
      </c>
      <c r="K331" t="s">
        <v>1133</v>
      </c>
      <c r="L331">
        <v>1355</v>
      </c>
      <c r="N331">
        <v>1010</v>
      </c>
      <c r="O331" t="s">
        <v>429</v>
      </c>
      <c r="P331" t="s">
        <v>429</v>
      </c>
      <c r="Q331">
        <v>100</v>
      </c>
      <c r="W331">
        <v>0</v>
      </c>
      <c r="X331">
        <v>1794244060</v>
      </c>
      <c r="Y331">
        <v>1.02</v>
      </c>
      <c r="AA331">
        <v>527.17999999999995</v>
      </c>
      <c r="AB331">
        <v>0</v>
      </c>
      <c r="AC331">
        <v>0</v>
      </c>
      <c r="AD331">
        <v>0</v>
      </c>
      <c r="AE331">
        <v>86</v>
      </c>
      <c r="AF331">
        <v>0</v>
      </c>
      <c r="AG331">
        <v>0</v>
      </c>
      <c r="AH331">
        <v>0</v>
      </c>
      <c r="AI331">
        <v>6.13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1.02</v>
      </c>
      <c r="AU331" t="s">
        <v>3</v>
      </c>
      <c r="AV331">
        <v>0</v>
      </c>
      <c r="AW331">
        <v>2</v>
      </c>
      <c r="AX331">
        <v>39478411</v>
      </c>
      <c r="AY331">
        <v>1</v>
      </c>
      <c r="AZ331">
        <v>0</v>
      </c>
      <c r="BA331">
        <v>310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Y331*Source!I146</f>
        <v>0.12239999999999999</v>
      </c>
      <c r="CY331">
        <f t="shared" si="45"/>
        <v>527.17999999999995</v>
      </c>
      <c r="CZ331">
        <f t="shared" si="46"/>
        <v>86</v>
      </c>
      <c r="DA331">
        <f t="shared" si="47"/>
        <v>6.13</v>
      </c>
      <c r="DB331">
        <v>0</v>
      </c>
    </row>
    <row r="332" spans="1:106" x14ac:dyDescent="0.2">
      <c r="A332">
        <f>ROW(Source!A146)</f>
        <v>146</v>
      </c>
      <c r="B332">
        <v>39476960</v>
      </c>
      <c r="C332">
        <v>39478405</v>
      </c>
      <c r="D332">
        <v>36804940</v>
      </c>
      <c r="E332">
        <v>1</v>
      </c>
      <c r="F332">
        <v>1</v>
      </c>
      <c r="G332">
        <v>1</v>
      </c>
      <c r="H332">
        <v>3</v>
      </c>
      <c r="I332" t="s">
        <v>1134</v>
      </c>
      <c r="J332" t="s">
        <v>1135</v>
      </c>
      <c r="K332" t="s">
        <v>1136</v>
      </c>
      <c r="L332">
        <v>1348</v>
      </c>
      <c r="N332">
        <v>1009</v>
      </c>
      <c r="O332" t="s">
        <v>34</v>
      </c>
      <c r="P332" t="s">
        <v>34</v>
      </c>
      <c r="Q332">
        <v>1000</v>
      </c>
      <c r="W332">
        <v>0</v>
      </c>
      <c r="X332">
        <v>797358079</v>
      </c>
      <c r="Y332">
        <v>1.6000000000000001E-4</v>
      </c>
      <c r="AA332">
        <v>182674</v>
      </c>
      <c r="AB332">
        <v>0</v>
      </c>
      <c r="AC332">
        <v>0</v>
      </c>
      <c r="AD332">
        <v>0</v>
      </c>
      <c r="AE332">
        <v>29800</v>
      </c>
      <c r="AF332">
        <v>0</v>
      </c>
      <c r="AG332">
        <v>0</v>
      </c>
      <c r="AH332">
        <v>0</v>
      </c>
      <c r="AI332">
        <v>6.13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1.6000000000000001E-4</v>
      </c>
      <c r="AU332" t="s">
        <v>3</v>
      </c>
      <c r="AV332">
        <v>0</v>
      </c>
      <c r="AW332">
        <v>2</v>
      </c>
      <c r="AX332">
        <v>39478412</v>
      </c>
      <c r="AY332">
        <v>1</v>
      </c>
      <c r="AZ332">
        <v>0</v>
      </c>
      <c r="BA332">
        <v>311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Y332*Source!I146</f>
        <v>1.9200000000000003E-5</v>
      </c>
      <c r="CY332">
        <f t="shared" si="45"/>
        <v>182674</v>
      </c>
      <c r="CZ332">
        <f t="shared" si="46"/>
        <v>29800</v>
      </c>
      <c r="DA332">
        <f t="shared" si="47"/>
        <v>6.13</v>
      </c>
      <c r="DB332">
        <v>0</v>
      </c>
    </row>
    <row r="333" spans="1:106" x14ac:dyDescent="0.2">
      <c r="A333">
        <f>ROW(Source!A146)</f>
        <v>146</v>
      </c>
      <c r="B333">
        <v>39476960</v>
      </c>
      <c r="C333">
        <v>39478405</v>
      </c>
      <c r="D333">
        <v>36804944</v>
      </c>
      <c r="E333">
        <v>1</v>
      </c>
      <c r="F333">
        <v>1</v>
      </c>
      <c r="G333">
        <v>1</v>
      </c>
      <c r="H333">
        <v>3</v>
      </c>
      <c r="I333" t="s">
        <v>1116</v>
      </c>
      <c r="J333" t="s">
        <v>1117</v>
      </c>
      <c r="K333" t="s">
        <v>1118</v>
      </c>
      <c r="L333">
        <v>1348</v>
      </c>
      <c r="N333">
        <v>1009</v>
      </c>
      <c r="O333" t="s">
        <v>34</v>
      </c>
      <c r="P333" t="s">
        <v>34</v>
      </c>
      <c r="Q333">
        <v>1000</v>
      </c>
      <c r="W333">
        <v>0</v>
      </c>
      <c r="X333">
        <v>-1755229539</v>
      </c>
      <c r="Y333">
        <v>2.9999999999999997E-4</v>
      </c>
      <c r="AA333">
        <v>76195.899999999994</v>
      </c>
      <c r="AB333">
        <v>0</v>
      </c>
      <c r="AC333">
        <v>0</v>
      </c>
      <c r="AD333">
        <v>0</v>
      </c>
      <c r="AE333">
        <v>12430</v>
      </c>
      <c r="AF333">
        <v>0</v>
      </c>
      <c r="AG333">
        <v>0</v>
      </c>
      <c r="AH333">
        <v>0</v>
      </c>
      <c r="AI333">
        <v>6.13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2.9999999999999997E-4</v>
      </c>
      <c r="AU333" t="s">
        <v>3</v>
      </c>
      <c r="AV333">
        <v>0</v>
      </c>
      <c r="AW333">
        <v>2</v>
      </c>
      <c r="AX333">
        <v>39478413</v>
      </c>
      <c r="AY333">
        <v>1</v>
      </c>
      <c r="AZ333">
        <v>0</v>
      </c>
      <c r="BA333">
        <v>312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Y333*Source!I146</f>
        <v>3.5999999999999994E-5</v>
      </c>
      <c r="CY333">
        <f t="shared" si="45"/>
        <v>76195.899999999994</v>
      </c>
      <c r="CZ333">
        <f t="shared" si="46"/>
        <v>12430</v>
      </c>
      <c r="DA333">
        <f t="shared" si="47"/>
        <v>6.13</v>
      </c>
      <c r="DB333">
        <v>0</v>
      </c>
    </row>
    <row r="334" spans="1:106" x14ac:dyDescent="0.2">
      <c r="A334">
        <f>ROW(Source!A146)</f>
        <v>146</v>
      </c>
      <c r="B334">
        <v>39476960</v>
      </c>
      <c r="C334">
        <v>39478405</v>
      </c>
      <c r="D334">
        <v>36855273</v>
      </c>
      <c r="E334">
        <v>1</v>
      </c>
      <c r="F334">
        <v>1</v>
      </c>
      <c r="G334">
        <v>1</v>
      </c>
      <c r="H334">
        <v>3</v>
      </c>
      <c r="I334" t="s">
        <v>427</v>
      </c>
      <c r="J334" t="s">
        <v>430</v>
      </c>
      <c r="K334" t="s">
        <v>428</v>
      </c>
      <c r="L334">
        <v>1355</v>
      </c>
      <c r="N334">
        <v>1010</v>
      </c>
      <c r="O334" t="s">
        <v>429</v>
      </c>
      <c r="P334" t="s">
        <v>429</v>
      </c>
      <c r="Q334">
        <v>100</v>
      </c>
      <c r="W334">
        <v>0</v>
      </c>
      <c r="X334">
        <v>-188618048</v>
      </c>
      <c r="Y334">
        <v>1</v>
      </c>
      <c r="AA334">
        <v>13498.26</v>
      </c>
      <c r="AB334">
        <v>0</v>
      </c>
      <c r="AC334">
        <v>0</v>
      </c>
      <c r="AD334">
        <v>0</v>
      </c>
      <c r="AE334">
        <v>2202</v>
      </c>
      <c r="AF334">
        <v>0</v>
      </c>
      <c r="AG334">
        <v>0</v>
      </c>
      <c r="AH334">
        <v>0</v>
      </c>
      <c r="AI334">
        <v>6.13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3</v>
      </c>
      <c r="AT334">
        <v>1</v>
      </c>
      <c r="AU334" t="s">
        <v>3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3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Y334*Source!I146</f>
        <v>0.12</v>
      </c>
      <c r="CY334">
        <f t="shared" si="45"/>
        <v>13498.26</v>
      </c>
      <c r="CZ334">
        <f t="shared" si="46"/>
        <v>2202</v>
      </c>
      <c r="DA334">
        <f t="shared" si="47"/>
        <v>6.13</v>
      </c>
      <c r="DB334">
        <v>0</v>
      </c>
    </row>
    <row r="335" spans="1:106" x14ac:dyDescent="0.2">
      <c r="A335">
        <f>ROW(Source!A146)</f>
        <v>146</v>
      </c>
      <c r="B335">
        <v>39476960</v>
      </c>
      <c r="C335">
        <v>39478405</v>
      </c>
      <c r="D335">
        <v>36799065</v>
      </c>
      <c r="E335">
        <v>17</v>
      </c>
      <c r="F335">
        <v>1</v>
      </c>
      <c r="G335">
        <v>1</v>
      </c>
      <c r="H335">
        <v>3</v>
      </c>
      <c r="I335" t="s">
        <v>1099</v>
      </c>
      <c r="J335" t="s">
        <v>3</v>
      </c>
      <c r="K335" t="s">
        <v>1100</v>
      </c>
      <c r="L335">
        <v>1374</v>
      </c>
      <c r="N335">
        <v>1013</v>
      </c>
      <c r="O335" t="s">
        <v>1101</v>
      </c>
      <c r="P335" t="s">
        <v>1101</v>
      </c>
      <c r="Q335">
        <v>1</v>
      </c>
      <c r="W335">
        <v>0</v>
      </c>
      <c r="X335">
        <v>-1731369543</v>
      </c>
      <c r="Y335">
        <v>6.86</v>
      </c>
      <c r="AA335">
        <v>1</v>
      </c>
      <c r="AB335">
        <v>0</v>
      </c>
      <c r="AC335">
        <v>0</v>
      </c>
      <c r="AD335">
        <v>0</v>
      </c>
      <c r="AE335">
        <v>1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6.86</v>
      </c>
      <c r="AU335" t="s">
        <v>3</v>
      </c>
      <c r="AV335">
        <v>0</v>
      </c>
      <c r="AW335">
        <v>2</v>
      </c>
      <c r="AX335">
        <v>39478414</v>
      </c>
      <c r="AY335">
        <v>1</v>
      </c>
      <c r="AZ335">
        <v>0</v>
      </c>
      <c r="BA335">
        <v>313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Y335*Source!I146</f>
        <v>0.82320000000000004</v>
      </c>
      <c r="CY335">
        <f t="shared" si="45"/>
        <v>1</v>
      </c>
      <c r="CZ335">
        <f t="shared" si="46"/>
        <v>1</v>
      </c>
      <c r="DA335">
        <f t="shared" si="47"/>
        <v>1</v>
      </c>
      <c r="DB335">
        <v>0</v>
      </c>
    </row>
    <row r="336" spans="1:106" x14ac:dyDescent="0.2">
      <c r="A336">
        <f>ROW(Source!A148)</f>
        <v>148</v>
      </c>
      <c r="B336">
        <v>39476960</v>
      </c>
      <c r="C336">
        <v>39478418</v>
      </c>
      <c r="D336">
        <v>37070202</v>
      </c>
      <c r="E336">
        <v>1</v>
      </c>
      <c r="F336">
        <v>1</v>
      </c>
      <c r="G336">
        <v>1</v>
      </c>
      <c r="H336">
        <v>1</v>
      </c>
      <c r="I336" t="s">
        <v>1137</v>
      </c>
      <c r="J336" t="s">
        <v>3</v>
      </c>
      <c r="K336" t="s">
        <v>1138</v>
      </c>
      <c r="L336">
        <v>1191</v>
      </c>
      <c r="N336">
        <v>1013</v>
      </c>
      <c r="O336" t="s">
        <v>796</v>
      </c>
      <c r="P336" t="s">
        <v>796</v>
      </c>
      <c r="Q336">
        <v>1</v>
      </c>
      <c r="W336">
        <v>0</v>
      </c>
      <c r="X336">
        <v>1983201532</v>
      </c>
      <c r="Y336">
        <v>1.8719999999999999</v>
      </c>
      <c r="AA336">
        <v>0</v>
      </c>
      <c r="AB336">
        <v>0</v>
      </c>
      <c r="AC336">
        <v>0</v>
      </c>
      <c r="AD336">
        <v>58.3</v>
      </c>
      <c r="AE336">
        <v>0</v>
      </c>
      <c r="AF336">
        <v>0</v>
      </c>
      <c r="AG336">
        <v>0</v>
      </c>
      <c r="AH336">
        <v>9.51</v>
      </c>
      <c r="AI336">
        <v>1</v>
      </c>
      <c r="AJ336">
        <v>1</v>
      </c>
      <c r="AK336">
        <v>1</v>
      </c>
      <c r="AL336">
        <v>6.13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1.56</v>
      </c>
      <c r="AU336" t="s">
        <v>371</v>
      </c>
      <c r="AV336">
        <v>1</v>
      </c>
      <c r="AW336">
        <v>2</v>
      </c>
      <c r="AX336">
        <v>39478419</v>
      </c>
      <c r="AY336">
        <v>1</v>
      </c>
      <c r="AZ336">
        <v>0</v>
      </c>
      <c r="BA336">
        <v>314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Y336*Source!I148</f>
        <v>37.44</v>
      </c>
      <c r="CY336">
        <f>AD336</f>
        <v>58.3</v>
      </c>
      <c r="CZ336">
        <f>AH336</f>
        <v>9.51</v>
      </c>
      <c r="DA336">
        <f>AL336</f>
        <v>6.13</v>
      </c>
      <c r="DB336">
        <v>0</v>
      </c>
    </row>
    <row r="337" spans="1:106" x14ac:dyDescent="0.2">
      <c r="A337">
        <f>ROW(Source!A148)</f>
        <v>148</v>
      </c>
      <c r="B337">
        <v>39476960</v>
      </c>
      <c r="C337">
        <v>39478418</v>
      </c>
      <c r="D337">
        <v>36883858</v>
      </c>
      <c r="E337">
        <v>1</v>
      </c>
      <c r="F337">
        <v>1</v>
      </c>
      <c r="G337">
        <v>1</v>
      </c>
      <c r="H337">
        <v>2</v>
      </c>
      <c r="I337" t="s">
        <v>1139</v>
      </c>
      <c r="J337" t="s">
        <v>1140</v>
      </c>
      <c r="K337" t="s">
        <v>1141</v>
      </c>
      <c r="L337">
        <v>1368</v>
      </c>
      <c r="N337">
        <v>1011</v>
      </c>
      <c r="O337" t="s">
        <v>802</v>
      </c>
      <c r="P337" t="s">
        <v>802</v>
      </c>
      <c r="Q337">
        <v>1</v>
      </c>
      <c r="W337">
        <v>0</v>
      </c>
      <c r="X337">
        <v>-353815937</v>
      </c>
      <c r="Y337">
        <v>0.156</v>
      </c>
      <c r="AA337">
        <v>0</v>
      </c>
      <c r="AB337">
        <v>49.65</v>
      </c>
      <c r="AC337">
        <v>0</v>
      </c>
      <c r="AD337">
        <v>0</v>
      </c>
      <c r="AE337">
        <v>0</v>
      </c>
      <c r="AF337">
        <v>8.1</v>
      </c>
      <c r="AG337">
        <v>0</v>
      </c>
      <c r="AH337">
        <v>0</v>
      </c>
      <c r="AI337">
        <v>1</v>
      </c>
      <c r="AJ337">
        <v>6.13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0.13</v>
      </c>
      <c r="AU337" t="s">
        <v>371</v>
      </c>
      <c r="AV337">
        <v>0</v>
      </c>
      <c r="AW337">
        <v>2</v>
      </c>
      <c r="AX337">
        <v>39478420</v>
      </c>
      <c r="AY337">
        <v>1</v>
      </c>
      <c r="AZ337">
        <v>0</v>
      </c>
      <c r="BA337">
        <v>315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Y337*Source!I148</f>
        <v>3.12</v>
      </c>
      <c r="CY337">
        <f>AB337</f>
        <v>49.65</v>
      </c>
      <c r="CZ337">
        <f>AF337</f>
        <v>8.1</v>
      </c>
      <c r="DA337">
        <f>AJ337</f>
        <v>6.13</v>
      </c>
      <c r="DB337">
        <v>0</v>
      </c>
    </row>
    <row r="338" spans="1:106" x14ac:dyDescent="0.2">
      <c r="A338">
        <f>ROW(Source!A148)</f>
        <v>148</v>
      </c>
      <c r="B338">
        <v>39476960</v>
      </c>
      <c r="C338">
        <v>39478418</v>
      </c>
      <c r="D338">
        <v>36800043</v>
      </c>
      <c r="E338">
        <v>1</v>
      </c>
      <c r="F338">
        <v>1</v>
      </c>
      <c r="G338">
        <v>1</v>
      </c>
      <c r="H338">
        <v>3</v>
      </c>
      <c r="I338" t="s">
        <v>1142</v>
      </c>
      <c r="J338" t="s">
        <v>1143</v>
      </c>
      <c r="K338" t="s">
        <v>1144</v>
      </c>
      <c r="L338">
        <v>1346</v>
      </c>
      <c r="N338">
        <v>1009</v>
      </c>
      <c r="O338" t="s">
        <v>217</v>
      </c>
      <c r="P338" t="s">
        <v>217</v>
      </c>
      <c r="Q338">
        <v>1</v>
      </c>
      <c r="W338">
        <v>0</v>
      </c>
      <c r="X338">
        <v>618806536</v>
      </c>
      <c r="Y338">
        <v>6.0000000000000001E-3</v>
      </c>
      <c r="AA338">
        <v>275.67</v>
      </c>
      <c r="AB338">
        <v>0</v>
      </c>
      <c r="AC338">
        <v>0</v>
      </c>
      <c r="AD338">
        <v>0</v>
      </c>
      <c r="AE338">
        <v>44.97</v>
      </c>
      <c r="AF338">
        <v>0</v>
      </c>
      <c r="AG338">
        <v>0</v>
      </c>
      <c r="AH338">
        <v>0</v>
      </c>
      <c r="AI338">
        <v>6.13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6.0000000000000001E-3</v>
      </c>
      <c r="AU338" t="s">
        <v>3</v>
      </c>
      <c r="AV338">
        <v>0</v>
      </c>
      <c r="AW338">
        <v>2</v>
      </c>
      <c r="AX338">
        <v>39478421</v>
      </c>
      <c r="AY338">
        <v>1</v>
      </c>
      <c r="AZ338">
        <v>0</v>
      </c>
      <c r="BA338">
        <v>316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Y338*Source!I148</f>
        <v>0.12</v>
      </c>
      <c r="CY338">
        <f t="shared" ref="CY338:CY351" si="48">AA338</f>
        <v>275.67</v>
      </c>
      <c r="CZ338">
        <f t="shared" ref="CZ338:CZ351" si="49">AE338</f>
        <v>44.97</v>
      </c>
      <c r="DA338">
        <f t="shared" ref="DA338:DA351" si="50">AI338</f>
        <v>6.13</v>
      </c>
      <c r="DB338">
        <v>0</v>
      </c>
    </row>
    <row r="339" spans="1:106" x14ac:dyDescent="0.2">
      <c r="A339">
        <f>ROW(Source!A148)</f>
        <v>148</v>
      </c>
      <c r="B339">
        <v>39476960</v>
      </c>
      <c r="C339">
        <v>39478418</v>
      </c>
      <c r="D339">
        <v>36801775</v>
      </c>
      <c r="E339">
        <v>1</v>
      </c>
      <c r="F339">
        <v>1</v>
      </c>
      <c r="G339">
        <v>1</v>
      </c>
      <c r="H339">
        <v>3</v>
      </c>
      <c r="I339" t="s">
        <v>1145</v>
      </c>
      <c r="J339" t="s">
        <v>1146</v>
      </c>
      <c r="K339" t="s">
        <v>1147</v>
      </c>
      <c r="L339">
        <v>1346</v>
      </c>
      <c r="N339">
        <v>1009</v>
      </c>
      <c r="O339" t="s">
        <v>217</v>
      </c>
      <c r="P339" t="s">
        <v>217</v>
      </c>
      <c r="Q339">
        <v>1</v>
      </c>
      <c r="W339">
        <v>0</v>
      </c>
      <c r="X339">
        <v>56922527</v>
      </c>
      <c r="Y339">
        <v>1E-3</v>
      </c>
      <c r="AA339">
        <v>70.5</v>
      </c>
      <c r="AB339">
        <v>0</v>
      </c>
      <c r="AC339">
        <v>0</v>
      </c>
      <c r="AD339">
        <v>0</v>
      </c>
      <c r="AE339">
        <v>11.5</v>
      </c>
      <c r="AF339">
        <v>0</v>
      </c>
      <c r="AG339">
        <v>0</v>
      </c>
      <c r="AH339">
        <v>0</v>
      </c>
      <c r="AI339">
        <v>6.13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1E-3</v>
      </c>
      <c r="AU339" t="s">
        <v>3</v>
      </c>
      <c r="AV339">
        <v>0</v>
      </c>
      <c r="AW339">
        <v>2</v>
      </c>
      <c r="AX339">
        <v>39478422</v>
      </c>
      <c r="AY339">
        <v>1</v>
      </c>
      <c r="AZ339">
        <v>0</v>
      </c>
      <c r="BA339">
        <v>317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Y339*Source!I148</f>
        <v>0.02</v>
      </c>
      <c r="CY339">
        <f t="shared" si="48"/>
        <v>70.5</v>
      </c>
      <c r="CZ339">
        <f t="shared" si="49"/>
        <v>11.5</v>
      </c>
      <c r="DA339">
        <f t="shared" si="50"/>
        <v>6.13</v>
      </c>
      <c r="DB339">
        <v>0</v>
      </c>
    </row>
    <row r="340" spans="1:106" x14ac:dyDescent="0.2">
      <c r="A340">
        <f>ROW(Source!A148)</f>
        <v>148</v>
      </c>
      <c r="B340">
        <v>39476960</v>
      </c>
      <c r="C340">
        <v>39478418</v>
      </c>
      <c r="D340">
        <v>36802094</v>
      </c>
      <c r="E340">
        <v>1</v>
      </c>
      <c r="F340">
        <v>1</v>
      </c>
      <c r="G340">
        <v>1</v>
      </c>
      <c r="H340">
        <v>3</v>
      </c>
      <c r="I340" t="s">
        <v>1084</v>
      </c>
      <c r="J340" t="s">
        <v>1085</v>
      </c>
      <c r="K340" t="s">
        <v>1086</v>
      </c>
      <c r="L340">
        <v>1346</v>
      </c>
      <c r="N340">
        <v>1009</v>
      </c>
      <c r="O340" t="s">
        <v>217</v>
      </c>
      <c r="P340" t="s">
        <v>217</v>
      </c>
      <c r="Q340">
        <v>1</v>
      </c>
      <c r="W340">
        <v>0</v>
      </c>
      <c r="X340">
        <v>-1088866022</v>
      </c>
      <c r="Y340">
        <v>1.2E-2</v>
      </c>
      <c r="AA340">
        <v>186.35</v>
      </c>
      <c r="AB340">
        <v>0</v>
      </c>
      <c r="AC340">
        <v>0</v>
      </c>
      <c r="AD340">
        <v>0</v>
      </c>
      <c r="AE340">
        <v>30.4</v>
      </c>
      <c r="AF340">
        <v>0</v>
      </c>
      <c r="AG340">
        <v>0</v>
      </c>
      <c r="AH340">
        <v>0</v>
      </c>
      <c r="AI340">
        <v>6.13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1.2E-2</v>
      </c>
      <c r="AU340" t="s">
        <v>3</v>
      </c>
      <c r="AV340">
        <v>0</v>
      </c>
      <c r="AW340">
        <v>2</v>
      </c>
      <c r="AX340">
        <v>39478423</v>
      </c>
      <c r="AY340">
        <v>1</v>
      </c>
      <c r="AZ340">
        <v>0</v>
      </c>
      <c r="BA340">
        <v>318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Y340*Source!I148</f>
        <v>0.24</v>
      </c>
      <c r="CY340">
        <f t="shared" si="48"/>
        <v>186.35</v>
      </c>
      <c r="CZ340">
        <f t="shared" si="49"/>
        <v>30.4</v>
      </c>
      <c r="DA340">
        <f t="shared" si="50"/>
        <v>6.13</v>
      </c>
      <c r="DB340">
        <v>0</v>
      </c>
    </row>
    <row r="341" spans="1:106" x14ac:dyDescent="0.2">
      <c r="A341">
        <f>ROW(Source!A148)</f>
        <v>148</v>
      </c>
      <c r="B341">
        <v>39476960</v>
      </c>
      <c r="C341">
        <v>39478418</v>
      </c>
      <c r="D341">
        <v>36803258</v>
      </c>
      <c r="E341">
        <v>1</v>
      </c>
      <c r="F341">
        <v>1</v>
      </c>
      <c r="G341">
        <v>1</v>
      </c>
      <c r="H341">
        <v>3</v>
      </c>
      <c r="I341" t="s">
        <v>1148</v>
      </c>
      <c r="J341" t="s">
        <v>1149</v>
      </c>
      <c r="K341" t="s">
        <v>1150</v>
      </c>
      <c r="L341">
        <v>1346</v>
      </c>
      <c r="N341">
        <v>1009</v>
      </c>
      <c r="O341" t="s">
        <v>217</v>
      </c>
      <c r="P341" t="s">
        <v>217</v>
      </c>
      <c r="Q341">
        <v>1</v>
      </c>
      <c r="W341">
        <v>0</v>
      </c>
      <c r="X341">
        <v>586013393</v>
      </c>
      <c r="Y341">
        <v>7.0000000000000007E-2</v>
      </c>
      <c r="AA341">
        <v>64.790000000000006</v>
      </c>
      <c r="AB341">
        <v>0</v>
      </c>
      <c r="AC341">
        <v>0</v>
      </c>
      <c r="AD341">
        <v>0</v>
      </c>
      <c r="AE341">
        <v>10.57</v>
      </c>
      <c r="AF341">
        <v>0</v>
      </c>
      <c r="AG341">
        <v>0</v>
      </c>
      <c r="AH341">
        <v>0</v>
      </c>
      <c r="AI341">
        <v>6.13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7.0000000000000007E-2</v>
      </c>
      <c r="AU341" t="s">
        <v>3</v>
      </c>
      <c r="AV341">
        <v>0</v>
      </c>
      <c r="AW341">
        <v>2</v>
      </c>
      <c r="AX341">
        <v>39478424</v>
      </c>
      <c r="AY341">
        <v>1</v>
      </c>
      <c r="AZ341">
        <v>0</v>
      </c>
      <c r="BA341">
        <v>319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Y341*Source!I148</f>
        <v>1.4000000000000001</v>
      </c>
      <c r="CY341">
        <f t="shared" si="48"/>
        <v>64.790000000000006</v>
      </c>
      <c r="CZ341">
        <f t="shared" si="49"/>
        <v>10.57</v>
      </c>
      <c r="DA341">
        <f t="shared" si="50"/>
        <v>6.13</v>
      </c>
      <c r="DB341">
        <v>0</v>
      </c>
    </row>
    <row r="342" spans="1:106" x14ac:dyDescent="0.2">
      <c r="A342">
        <f>ROW(Source!A148)</f>
        <v>148</v>
      </c>
      <c r="B342">
        <v>39476960</v>
      </c>
      <c r="C342">
        <v>39478418</v>
      </c>
      <c r="D342">
        <v>36804448</v>
      </c>
      <c r="E342">
        <v>1</v>
      </c>
      <c r="F342">
        <v>1</v>
      </c>
      <c r="G342">
        <v>1</v>
      </c>
      <c r="H342">
        <v>3</v>
      </c>
      <c r="I342" t="s">
        <v>1124</v>
      </c>
      <c r="J342" t="s">
        <v>1125</v>
      </c>
      <c r="K342" t="s">
        <v>1083</v>
      </c>
      <c r="L342">
        <v>1346</v>
      </c>
      <c r="N342">
        <v>1009</v>
      </c>
      <c r="O342" t="s">
        <v>217</v>
      </c>
      <c r="P342" t="s">
        <v>217</v>
      </c>
      <c r="Q342">
        <v>1</v>
      </c>
      <c r="W342">
        <v>0</v>
      </c>
      <c r="X342">
        <v>103900845</v>
      </c>
      <c r="Y342">
        <v>4.9000000000000002E-2</v>
      </c>
      <c r="AA342">
        <v>55.42</v>
      </c>
      <c r="AB342">
        <v>0</v>
      </c>
      <c r="AC342">
        <v>0</v>
      </c>
      <c r="AD342">
        <v>0</v>
      </c>
      <c r="AE342">
        <v>9.0399999999999991</v>
      </c>
      <c r="AF342">
        <v>0</v>
      </c>
      <c r="AG342">
        <v>0</v>
      </c>
      <c r="AH342">
        <v>0</v>
      </c>
      <c r="AI342">
        <v>6.13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4.9000000000000002E-2</v>
      </c>
      <c r="AU342" t="s">
        <v>3</v>
      </c>
      <c r="AV342">
        <v>0</v>
      </c>
      <c r="AW342">
        <v>2</v>
      </c>
      <c r="AX342">
        <v>39478425</v>
      </c>
      <c r="AY342">
        <v>1</v>
      </c>
      <c r="AZ342">
        <v>0</v>
      </c>
      <c r="BA342">
        <v>320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Y342*Source!I148</f>
        <v>0.98</v>
      </c>
      <c r="CY342">
        <f t="shared" si="48"/>
        <v>55.42</v>
      </c>
      <c r="CZ342">
        <f t="shared" si="49"/>
        <v>9.0399999999999991</v>
      </c>
      <c r="DA342">
        <f t="shared" si="50"/>
        <v>6.13</v>
      </c>
      <c r="DB342">
        <v>0</v>
      </c>
    </row>
    <row r="343" spans="1:106" x14ac:dyDescent="0.2">
      <c r="A343">
        <f>ROW(Source!A148)</f>
        <v>148</v>
      </c>
      <c r="B343">
        <v>39476960</v>
      </c>
      <c r="C343">
        <v>39478418</v>
      </c>
      <c r="D343">
        <v>36804580</v>
      </c>
      <c r="E343">
        <v>1</v>
      </c>
      <c r="F343">
        <v>1</v>
      </c>
      <c r="G343">
        <v>1</v>
      </c>
      <c r="H343">
        <v>3</v>
      </c>
      <c r="I343" t="s">
        <v>1131</v>
      </c>
      <c r="J343" t="s">
        <v>1132</v>
      </c>
      <c r="K343" t="s">
        <v>1133</v>
      </c>
      <c r="L343">
        <v>1355</v>
      </c>
      <c r="N343">
        <v>1010</v>
      </c>
      <c r="O343" t="s">
        <v>429</v>
      </c>
      <c r="P343" t="s">
        <v>429</v>
      </c>
      <c r="Q343">
        <v>100</v>
      </c>
      <c r="W343">
        <v>0</v>
      </c>
      <c r="X343">
        <v>1794244060</v>
      </c>
      <c r="Y343">
        <v>1.4E-2</v>
      </c>
      <c r="AA343">
        <v>527.17999999999995</v>
      </c>
      <c r="AB343">
        <v>0</v>
      </c>
      <c r="AC343">
        <v>0</v>
      </c>
      <c r="AD343">
        <v>0</v>
      </c>
      <c r="AE343">
        <v>86</v>
      </c>
      <c r="AF343">
        <v>0</v>
      </c>
      <c r="AG343">
        <v>0</v>
      </c>
      <c r="AH343">
        <v>0</v>
      </c>
      <c r="AI343">
        <v>6.13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1.4E-2</v>
      </c>
      <c r="AU343" t="s">
        <v>3</v>
      </c>
      <c r="AV343">
        <v>0</v>
      </c>
      <c r="AW343">
        <v>2</v>
      </c>
      <c r="AX343">
        <v>39478426</v>
      </c>
      <c r="AY343">
        <v>1</v>
      </c>
      <c r="AZ343">
        <v>0</v>
      </c>
      <c r="BA343">
        <v>321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Y343*Source!I148</f>
        <v>0.28000000000000003</v>
      </c>
      <c r="CY343">
        <f t="shared" si="48"/>
        <v>527.17999999999995</v>
      </c>
      <c r="CZ343">
        <f t="shared" si="49"/>
        <v>86</v>
      </c>
      <c r="DA343">
        <f t="shared" si="50"/>
        <v>6.13</v>
      </c>
      <c r="DB343">
        <v>0</v>
      </c>
    </row>
    <row r="344" spans="1:106" x14ac:dyDescent="0.2">
      <c r="A344">
        <f>ROW(Source!A148)</f>
        <v>148</v>
      </c>
      <c r="B344">
        <v>39476960</v>
      </c>
      <c r="C344">
        <v>39478418</v>
      </c>
      <c r="D344">
        <v>36805500</v>
      </c>
      <c r="E344">
        <v>1</v>
      </c>
      <c r="F344">
        <v>1</v>
      </c>
      <c r="G344">
        <v>1</v>
      </c>
      <c r="H344">
        <v>3</v>
      </c>
      <c r="I344" t="s">
        <v>1151</v>
      </c>
      <c r="J344" t="s">
        <v>1152</v>
      </c>
      <c r="K344" t="s">
        <v>1153</v>
      </c>
      <c r="L344">
        <v>1346</v>
      </c>
      <c r="N344">
        <v>1009</v>
      </c>
      <c r="O344" t="s">
        <v>217</v>
      </c>
      <c r="P344" t="s">
        <v>217</v>
      </c>
      <c r="Q344">
        <v>1</v>
      </c>
      <c r="W344">
        <v>0</v>
      </c>
      <c r="X344">
        <v>-856710481</v>
      </c>
      <c r="Y344">
        <v>1E-3</v>
      </c>
      <c r="AA344">
        <v>815.6</v>
      </c>
      <c r="AB344">
        <v>0</v>
      </c>
      <c r="AC344">
        <v>0</v>
      </c>
      <c r="AD344">
        <v>0</v>
      </c>
      <c r="AE344">
        <v>133.05000000000001</v>
      </c>
      <c r="AF344">
        <v>0</v>
      </c>
      <c r="AG344">
        <v>0</v>
      </c>
      <c r="AH344">
        <v>0</v>
      </c>
      <c r="AI344">
        <v>6.13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1E-3</v>
      </c>
      <c r="AU344" t="s">
        <v>3</v>
      </c>
      <c r="AV344">
        <v>0</v>
      </c>
      <c r="AW344">
        <v>2</v>
      </c>
      <c r="AX344">
        <v>39478427</v>
      </c>
      <c r="AY344">
        <v>1</v>
      </c>
      <c r="AZ344">
        <v>0</v>
      </c>
      <c r="BA344">
        <v>322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Y344*Source!I148</f>
        <v>0.02</v>
      </c>
      <c r="CY344">
        <f t="shared" si="48"/>
        <v>815.6</v>
      </c>
      <c r="CZ344">
        <f t="shared" si="49"/>
        <v>133.05000000000001</v>
      </c>
      <c r="DA344">
        <f t="shared" si="50"/>
        <v>6.13</v>
      </c>
      <c r="DB344">
        <v>0</v>
      </c>
    </row>
    <row r="345" spans="1:106" x14ac:dyDescent="0.2">
      <c r="A345">
        <f>ROW(Source!A148)</f>
        <v>148</v>
      </c>
      <c r="B345">
        <v>39476960</v>
      </c>
      <c r="C345">
        <v>39478418</v>
      </c>
      <c r="D345">
        <v>36823140</v>
      </c>
      <c r="E345">
        <v>1</v>
      </c>
      <c r="F345">
        <v>1</v>
      </c>
      <c r="G345">
        <v>1</v>
      </c>
      <c r="H345">
        <v>3</v>
      </c>
      <c r="I345" t="s">
        <v>1154</v>
      </c>
      <c r="J345" t="s">
        <v>1155</v>
      </c>
      <c r="K345" t="s">
        <v>1156</v>
      </c>
      <c r="L345">
        <v>1348</v>
      </c>
      <c r="N345">
        <v>1009</v>
      </c>
      <c r="O345" t="s">
        <v>34</v>
      </c>
      <c r="P345" t="s">
        <v>34</v>
      </c>
      <c r="Q345">
        <v>1000</v>
      </c>
      <c r="W345">
        <v>0</v>
      </c>
      <c r="X345">
        <v>426000481</v>
      </c>
      <c r="Y345">
        <v>1E-3</v>
      </c>
      <c r="AA345">
        <v>70495</v>
      </c>
      <c r="AB345">
        <v>0</v>
      </c>
      <c r="AC345">
        <v>0</v>
      </c>
      <c r="AD345">
        <v>0</v>
      </c>
      <c r="AE345">
        <v>11500</v>
      </c>
      <c r="AF345">
        <v>0</v>
      </c>
      <c r="AG345">
        <v>0</v>
      </c>
      <c r="AH345">
        <v>0</v>
      </c>
      <c r="AI345">
        <v>6.13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1E-3</v>
      </c>
      <c r="AU345" t="s">
        <v>3</v>
      </c>
      <c r="AV345">
        <v>0</v>
      </c>
      <c r="AW345">
        <v>2</v>
      </c>
      <c r="AX345">
        <v>39478428</v>
      </c>
      <c r="AY345">
        <v>1</v>
      </c>
      <c r="AZ345">
        <v>0</v>
      </c>
      <c r="BA345">
        <v>323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Y345*Source!I148</f>
        <v>0.02</v>
      </c>
      <c r="CY345">
        <f t="shared" si="48"/>
        <v>70495</v>
      </c>
      <c r="CZ345">
        <f t="shared" si="49"/>
        <v>11500</v>
      </c>
      <c r="DA345">
        <f t="shared" si="50"/>
        <v>6.13</v>
      </c>
      <c r="DB345">
        <v>0</v>
      </c>
    </row>
    <row r="346" spans="1:106" x14ac:dyDescent="0.2">
      <c r="A346">
        <f>ROW(Source!A148)</f>
        <v>148</v>
      </c>
      <c r="B346">
        <v>39476960</v>
      </c>
      <c r="C346">
        <v>39478418</v>
      </c>
      <c r="D346">
        <v>36838317</v>
      </c>
      <c r="E346">
        <v>1</v>
      </c>
      <c r="F346">
        <v>1</v>
      </c>
      <c r="G346">
        <v>1</v>
      </c>
      <c r="H346">
        <v>3</v>
      </c>
      <c r="I346" t="s">
        <v>1090</v>
      </c>
      <c r="J346" t="s">
        <v>1091</v>
      </c>
      <c r="K346" t="s">
        <v>1092</v>
      </c>
      <c r="L346">
        <v>1346</v>
      </c>
      <c r="N346">
        <v>1009</v>
      </c>
      <c r="O346" t="s">
        <v>217</v>
      </c>
      <c r="P346" t="s">
        <v>217</v>
      </c>
      <c r="Q346">
        <v>1</v>
      </c>
      <c r="W346">
        <v>0</v>
      </c>
      <c r="X346">
        <v>210558753</v>
      </c>
      <c r="Y346">
        <v>3.5999999999999997E-2</v>
      </c>
      <c r="AA346">
        <v>175.32</v>
      </c>
      <c r="AB346">
        <v>0</v>
      </c>
      <c r="AC346">
        <v>0</v>
      </c>
      <c r="AD346">
        <v>0</v>
      </c>
      <c r="AE346">
        <v>28.6</v>
      </c>
      <c r="AF346">
        <v>0</v>
      </c>
      <c r="AG346">
        <v>0</v>
      </c>
      <c r="AH346">
        <v>0</v>
      </c>
      <c r="AI346">
        <v>6.13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3.5999999999999997E-2</v>
      </c>
      <c r="AU346" t="s">
        <v>3</v>
      </c>
      <c r="AV346">
        <v>0</v>
      </c>
      <c r="AW346">
        <v>2</v>
      </c>
      <c r="AX346">
        <v>39478429</v>
      </c>
      <c r="AY346">
        <v>1</v>
      </c>
      <c r="AZ346">
        <v>0</v>
      </c>
      <c r="BA346">
        <v>324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Y346*Source!I148</f>
        <v>0.72</v>
      </c>
      <c r="CY346">
        <f t="shared" si="48"/>
        <v>175.32</v>
      </c>
      <c r="CZ346">
        <f t="shared" si="49"/>
        <v>28.6</v>
      </c>
      <c r="DA346">
        <f t="shared" si="50"/>
        <v>6.13</v>
      </c>
      <c r="DB346">
        <v>0</v>
      </c>
    </row>
    <row r="347" spans="1:106" x14ac:dyDescent="0.2">
      <c r="A347">
        <f>ROW(Source!A148)</f>
        <v>148</v>
      </c>
      <c r="B347">
        <v>39476960</v>
      </c>
      <c r="C347">
        <v>39478418</v>
      </c>
      <c r="D347">
        <v>36838470</v>
      </c>
      <c r="E347">
        <v>1</v>
      </c>
      <c r="F347">
        <v>1</v>
      </c>
      <c r="G347">
        <v>1</v>
      </c>
      <c r="H347">
        <v>3</v>
      </c>
      <c r="I347" t="s">
        <v>1157</v>
      </c>
      <c r="J347" t="s">
        <v>1158</v>
      </c>
      <c r="K347" t="s">
        <v>1159</v>
      </c>
      <c r="L347">
        <v>1346</v>
      </c>
      <c r="N347">
        <v>1009</v>
      </c>
      <c r="O347" t="s">
        <v>217</v>
      </c>
      <c r="P347" t="s">
        <v>217</v>
      </c>
      <c r="Q347">
        <v>1</v>
      </c>
      <c r="W347">
        <v>0</v>
      </c>
      <c r="X347">
        <v>-1274984028</v>
      </c>
      <c r="Y347">
        <v>6.0000000000000001E-3</v>
      </c>
      <c r="AA347">
        <v>218.41</v>
      </c>
      <c r="AB347">
        <v>0</v>
      </c>
      <c r="AC347">
        <v>0</v>
      </c>
      <c r="AD347">
        <v>0</v>
      </c>
      <c r="AE347">
        <v>35.630000000000003</v>
      </c>
      <c r="AF347">
        <v>0</v>
      </c>
      <c r="AG347">
        <v>0</v>
      </c>
      <c r="AH347">
        <v>0</v>
      </c>
      <c r="AI347">
        <v>6.13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6.0000000000000001E-3</v>
      </c>
      <c r="AU347" t="s">
        <v>3</v>
      </c>
      <c r="AV347">
        <v>0</v>
      </c>
      <c r="AW347">
        <v>2</v>
      </c>
      <c r="AX347">
        <v>39478430</v>
      </c>
      <c r="AY347">
        <v>1</v>
      </c>
      <c r="AZ347">
        <v>0</v>
      </c>
      <c r="BA347">
        <v>325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Y347*Source!I148</f>
        <v>0.12</v>
      </c>
      <c r="CY347">
        <f t="shared" si="48"/>
        <v>218.41</v>
      </c>
      <c r="CZ347">
        <f t="shared" si="49"/>
        <v>35.630000000000003</v>
      </c>
      <c r="DA347">
        <f t="shared" si="50"/>
        <v>6.13</v>
      </c>
      <c r="DB347">
        <v>0</v>
      </c>
    </row>
    <row r="348" spans="1:106" x14ac:dyDescent="0.2">
      <c r="A348">
        <f>ROW(Source!A148)</f>
        <v>148</v>
      </c>
      <c r="B348">
        <v>39476960</v>
      </c>
      <c r="C348">
        <v>39478418</v>
      </c>
      <c r="D348">
        <v>36851945</v>
      </c>
      <c r="E348">
        <v>1</v>
      </c>
      <c r="F348">
        <v>1</v>
      </c>
      <c r="G348">
        <v>1</v>
      </c>
      <c r="H348">
        <v>3</v>
      </c>
      <c r="I348" t="s">
        <v>1160</v>
      </c>
      <c r="J348" t="s">
        <v>1161</v>
      </c>
      <c r="K348" t="s">
        <v>1162</v>
      </c>
      <c r="L348">
        <v>1358</v>
      </c>
      <c r="N348">
        <v>1010</v>
      </c>
      <c r="O348" t="s">
        <v>160</v>
      </c>
      <c r="P348" t="s">
        <v>160</v>
      </c>
      <c r="Q348">
        <v>10</v>
      </c>
      <c r="W348">
        <v>0</v>
      </c>
      <c r="X348">
        <v>1386890308</v>
      </c>
      <c r="Y348">
        <v>0.1</v>
      </c>
      <c r="AA348">
        <v>239.07</v>
      </c>
      <c r="AB348">
        <v>0</v>
      </c>
      <c r="AC348">
        <v>0</v>
      </c>
      <c r="AD348">
        <v>0</v>
      </c>
      <c r="AE348">
        <v>39</v>
      </c>
      <c r="AF348">
        <v>0</v>
      </c>
      <c r="AG348">
        <v>0</v>
      </c>
      <c r="AH348">
        <v>0</v>
      </c>
      <c r="AI348">
        <v>6.13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0.1</v>
      </c>
      <c r="AU348" t="s">
        <v>3</v>
      </c>
      <c r="AV348">
        <v>0</v>
      </c>
      <c r="AW348">
        <v>2</v>
      </c>
      <c r="AX348">
        <v>39478431</v>
      </c>
      <c r="AY348">
        <v>1</v>
      </c>
      <c r="AZ348">
        <v>0</v>
      </c>
      <c r="BA348">
        <v>326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Y348*Source!I148</f>
        <v>2</v>
      </c>
      <c r="CY348">
        <f t="shared" si="48"/>
        <v>239.07</v>
      </c>
      <c r="CZ348">
        <f t="shared" si="49"/>
        <v>39</v>
      </c>
      <c r="DA348">
        <f t="shared" si="50"/>
        <v>6.13</v>
      </c>
      <c r="DB348">
        <v>0</v>
      </c>
    </row>
    <row r="349" spans="1:106" x14ac:dyDescent="0.2">
      <c r="A349">
        <f>ROW(Source!A148)</f>
        <v>148</v>
      </c>
      <c r="B349">
        <v>39476960</v>
      </c>
      <c r="C349">
        <v>39478418</v>
      </c>
      <c r="D349">
        <v>36873385</v>
      </c>
      <c r="E349">
        <v>1</v>
      </c>
      <c r="F349">
        <v>1</v>
      </c>
      <c r="G349">
        <v>1</v>
      </c>
      <c r="H349">
        <v>3</v>
      </c>
      <c r="I349" t="s">
        <v>436</v>
      </c>
      <c r="J349" t="s">
        <v>438</v>
      </c>
      <c r="K349" t="s">
        <v>437</v>
      </c>
      <c r="L349">
        <v>1354</v>
      </c>
      <c r="N349">
        <v>1010</v>
      </c>
      <c r="O349" t="s">
        <v>415</v>
      </c>
      <c r="P349" t="s">
        <v>415</v>
      </c>
      <c r="Q349">
        <v>1</v>
      </c>
      <c r="W349">
        <v>0</v>
      </c>
      <c r="X349">
        <v>634384662</v>
      </c>
      <c r="Y349">
        <v>0.75</v>
      </c>
      <c r="AA349">
        <v>60.5</v>
      </c>
      <c r="AB349">
        <v>0</v>
      </c>
      <c r="AC349">
        <v>0</v>
      </c>
      <c r="AD349">
        <v>0</v>
      </c>
      <c r="AE349">
        <v>9.8699999999999992</v>
      </c>
      <c r="AF349">
        <v>0</v>
      </c>
      <c r="AG349">
        <v>0</v>
      </c>
      <c r="AH349">
        <v>0</v>
      </c>
      <c r="AI349">
        <v>6.13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3</v>
      </c>
      <c r="AT349">
        <v>0.75</v>
      </c>
      <c r="AU349" t="s">
        <v>3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Y349*Source!I148</f>
        <v>15</v>
      </c>
      <c r="CY349">
        <f t="shared" si="48"/>
        <v>60.5</v>
      </c>
      <c r="CZ349">
        <f t="shared" si="49"/>
        <v>9.8699999999999992</v>
      </c>
      <c r="DA349">
        <f t="shared" si="50"/>
        <v>6.13</v>
      </c>
      <c r="DB349">
        <v>0</v>
      </c>
    </row>
    <row r="350" spans="1:106" x14ac:dyDescent="0.2">
      <c r="A350">
        <f>ROW(Source!A148)</f>
        <v>148</v>
      </c>
      <c r="B350">
        <v>39476960</v>
      </c>
      <c r="C350">
        <v>39478418</v>
      </c>
      <c r="D350">
        <v>36873397</v>
      </c>
      <c r="E350">
        <v>1</v>
      </c>
      <c r="F350">
        <v>1</v>
      </c>
      <c r="G350">
        <v>1</v>
      </c>
      <c r="H350">
        <v>3</v>
      </c>
      <c r="I350" t="s">
        <v>440</v>
      </c>
      <c r="J350" t="s">
        <v>442</v>
      </c>
      <c r="K350" t="s">
        <v>441</v>
      </c>
      <c r="L350">
        <v>1354</v>
      </c>
      <c r="N350">
        <v>1010</v>
      </c>
      <c r="O350" t="s">
        <v>415</v>
      </c>
      <c r="P350" t="s">
        <v>415</v>
      </c>
      <c r="Q350">
        <v>1</v>
      </c>
      <c r="W350">
        <v>0</v>
      </c>
      <c r="X350">
        <v>-1384312906</v>
      </c>
      <c r="Y350">
        <v>0.25</v>
      </c>
      <c r="AA350">
        <v>181.57</v>
      </c>
      <c r="AB350">
        <v>0</v>
      </c>
      <c r="AC350">
        <v>0</v>
      </c>
      <c r="AD350">
        <v>0</v>
      </c>
      <c r="AE350">
        <v>29.62</v>
      </c>
      <c r="AF350">
        <v>0</v>
      </c>
      <c r="AG350">
        <v>0</v>
      </c>
      <c r="AH350">
        <v>0</v>
      </c>
      <c r="AI350">
        <v>6.13</v>
      </c>
      <c r="AJ350">
        <v>1</v>
      </c>
      <c r="AK350">
        <v>1</v>
      </c>
      <c r="AL350">
        <v>1</v>
      </c>
      <c r="AN350">
        <v>0</v>
      </c>
      <c r="AO350">
        <v>0</v>
      </c>
      <c r="AP350">
        <v>0</v>
      </c>
      <c r="AQ350">
        <v>0</v>
      </c>
      <c r="AR350">
        <v>0</v>
      </c>
      <c r="AS350" t="s">
        <v>3</v>
      </c>
      <c r="AT350">
        <v>0.25</v>
      </c>
      <c r="AU350" t="s">
        <v>3</v>
      </c>
      <c r="AV350">
        <v>0</v>
      </c>
      <c r="AW350">
        <v>1</v>
      </c>
      <c r="AX350">
        <v>-1</v>
      </c>
      <c r="AY350">
        <v>0</v>
      </c>
      <c r="AZ350">
        <v>0</v>
      </c>
      <c r="BA350" t="s">
        <v>3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Y350*Source!I148</f>
        <v>5</v>
      </c>
      <c r="CY350">
        <f t="shared" si="48"/>
        <v>181.57</v>
      </c>
      <c r="CZ350">
        <f t="shared" si="49"/>
        <v>29.62</v>
      </c>
      <c r="DA350">
        <f t="shared" si="50"/>
        <v>6.13</v>
      </c>
      <c r="DB350">
        <v>0</v>
      </c>
    </row>
    <row r="351" spans="1:106" x14ac:dyDescent="0.2">
      <c r="A351">
        <f>ROW(Source!A148)</f>
        <v>148</v>
      </c>
      <c r="B351">
        <v>39476960</v>
      </c>
      <c r="C351">
        <v>39478418</v>
      </c>
      <c r="D351">
        <v>36799065</v>
      </c>
      <c r="E351">
        <v>17</v>
      </c>
      <c r="F351">
        <v>1</v>
      </c>
      <c r="G351">
        <v>1</v>
      </c>
      <c r="H351">
        <v>3</v>
      </c>
      <c r="I351" t="s">
        <v>1099</v>
      </c>
      <c r="J351" t="s">
        <v>3</v>
      </c>
      <c r="K351" t="s">
        <v>1100</v>
      </c>
      <c r="L351">
        <v>1374</v>
      </c>
      <c r="N351">
        <v>1013</v>
      </c>
      <c r="O351" t="s">
        <v>1101</v>
      </c>
      <c r="P351" t="s">
        <v>1101</v>
      </c>
      <c r="Q351">
        <v>1</v>
      </c>
      <c r="W351">
        <v>0</v>
      </c>
      <c r="X351">
        <v>-1731369543</v>
      </c>
      <c r="Y351">
        <v>0.3</v>
      </c>
      <c r="AA351">
        <v>1</v>
      </c>
      <c r="AB351">
        <v>0</v>
      </c>
      <c r="AC351">
        <v>0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0.3</v>
      </c>
      <c r="AU351" t="s">
        <v>3</v>
      </c>
      <c r="AV351">
        <v>0</v>
      </c>
      <c r="AW351">
        <v>2</v>
      </c>
      <c r="AX351">
        <v>39478432</v>
      </c>
      <c r="AY351">
        <v>1</v>
      </c>
      <c r="AZ351">
        <v>0</v>
      </c>
      <c r="BA351">
        <v>327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Y351*Source!I148</f>
        <v>6</v>
      </c>
      <c r="CY351">
        <f t="shared" si="48"/>
        <v>1</v>
      </c>
      <c r="CZ351">
        <f t="shared" si="49"/>
        <v>1</v>
      </c>
      <c r="DA351">
        <f t="shared" si="50"/>
        <v>1</v>
      </c>
      <c r="DB351">
        <v>0</v>
      </c>
    </row>
    <row r="352" spans="1:106" x14ac:dyDescent="0.2">
      <c r="A352">
        <f>ROW(Source!A151)</f>
        <v>151</v>
      </c>
      <c r="B352">
        <v>39476960</v>
      </c>
      <c r="C352">
        <v>39478439</v>
      </c>
      <c r="D352">
        <v>37070202</v>
      </c>
      <c r="E352">
        <v>1</v>
      </c>
      <c r="F352">
        <v>1</v>
      </c>
      <c r="G352">
        <v>1</v>
      </c>
      <c r="H352">
        <v>1</v>
      </c>
      <c r="I352" t="s">
        <v>1137</v>
      </c>
      <c r="J352" t="s">
        <v>3</v>
      </c>
      <c r="K352" t="s">
        <v>1138</v>
      </c>
      <c r="L352">
        <v>1191</v>
      </c>
      <c r="N352">
        <v>1013</v>
      </c>
      <c r="O352" t="s">
        <v>796</v>
      </c>
      <c r="P352" t="s">
        <v>796</v>
      </c>
      <c r="Q352">
        <v>1</v>
      </c>
      <c r="W352">
        <v>0</v>
      </c>
      <c r="X352">
        <v>1983201532</v>
      </c>
      <c r="Y352">
        <v>19.547999999999998</v>
      </c>
      <c r="AA352">
        <v>0</v>
      </c>
      <c r="AB352">
        <v>0</v>
      </c>
      <c r="AC352">
        <v>0</v>
      </c>
      <c r="AD352">
        <v>58.3</v>
      </c>
      <c r="AE352">
        <v>0</v>
      </c>
      <c r="AF352">
        <v>0</v>
      </c>
      <c r="AG352">
        <v>0</v>
      </c>
      <c r="AH352">
        <v>9.51</v>
      </c>
      <c r="AI352">
        <v>1</v>
      </c>
      <c r="AJ352">
        <v>1</v>
      </c>
      <c r="AK352">
        <v>1</v>
      </c>
      <c r="AL352">
        <v>6.13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16.29</v>
      </c>
      <c r="AU352" t="s">
        <v>371</v>
      </c>
      <c r="AV352">
        <v>1</v>
      </c>
      <c r="AW352">
        <v>2</v>
      </c>
      <c r="AX352">
        <v>39478440</v>
      </c>
      <c r="AY352">
        <v>1</v>
      </c>
      <c r="AZ352">
        <v>0</v>
      </c>
      <c r="BA352">
        <v>328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Y352*Source!I151</f>
        <v>15.638399999999999</v>
      </c>
      <c r="CY352">
        <f>AD352</f>
        <v>58.3</v>
      </c>
      <c r="CZ352">
        <f>AH352</f>
        <v>9.51</v>
      </c>
      <c r="DA352">
        <f>AL352</f>
        <v>6.13</v>
      </c>
      <c r="DB352">
        <v>0</v>
      </c>
    </row>
    <row r="353" spans="1:106" x14ac:dyDescent="0.2">
      <c r="A353">
        <f>ROW(Source!A151)</f>
        <v>151</v>
      </c>
      <c r="B353">
        <v>39476960</v>
      </c>
      <c r="C353">
        <v>39478439</v>
      </c>
      <c r="D353">
        <v>37064876</v>
      </c>
      <c r="E353">
        <v>1</v>
      </c>
      <c r="F353">
        <v>1</v>
      </c>
      <c r="G353">
        <v>1</v>
      </c>
      <c r="H353">
        <v>1</v>
      </c>
      <c r="I353" t="s">
        <v>797</v>
      </c>
      <c r="J353" t="s">
        <v>3</v>
      </c>
      <c r="K353" t="s">
        <v>798</v>
      </c>
      <c r="L353">
        <v>1191</v>
      </c>
      <c r="N353">
        <v>1013</v>
      </c>
      <c r="O353" t="s">
        <v>796</v>
      </c>
      <c r="P353" t="s">
        <v>796</v>
      </c>
      <c r="Q353">
        <v>1</v>
      </c>
      <c r="W353">
        <v>0</v>
      </c>
      <c r="X353">
        <v>-1417349443</v>
      </c>
      <c r="Y353">
        <v>0.01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6.13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0.01</v>
      </c>
      <c r="AU353" t="s">
        <v>3</v>
      </c>
      <c r="AV353">
        <v>2</v>
      </c>
      <c r="AW353">
        <v>2</v>
      </c>
      <c r="AX353">
        <v>39478441</v>
      </c>
      <c r="AY353">
        <v>1</v>
      </c>
      <c r="AZ353">
        <v>2048</v>
      </c>
      <c r="BA353">
        <v>329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Y353*Source!I151</f>
        <v>8.0000000000000002E-3</v>
      </c>
      <c r="CY353">
        <f>AD353</f>
        <v>0</v>
      </c>
      <c r="CZ353">
        <f>AH353</f>
        <v>0</v>
      </c>
      <c r="DA353">
        <f>AL353</f>
        <v>1</v>
      </c>
      <c r="DB353">
        <v>0</v>
      </c>
    </row>
    <row r="354" spans="1:106" x14ac:dyDescent="0.2">
      <c r="A354">
        <f>ROW(Source!A151)</f>
        <v>151</v>
      </c>
      <c r="B354">
        <v>39476960</v>
      </c>
      <c r="C354">
        <v>39478439</v>
      </c>
      <c r="D354">
        <v>36882452</v>
      </c>
      <c r="E354">
        <v>1</v>
      </c>
      <c r="F354">
        <v>1</v>
      </c>
      <c r="G354">
        <v>1</v>
      </c>
      <c r="H354">
        <v>2</v>
      </c>
      <c r="I354" t="s">
        <v>799</v>
      </c>
      <c r="J354" t="s">
        <v>800</v>
      </c>
      <c r="K354" t="s">
        <v>801</v>
      </c>
      <c r="L354">
        <v>1368</v>
      </c>
      <c r="N354">
        <v>1011</v>
      </c>
      <c r="O354" t="s">
        <v>802</v>
      </c>
      <c r="P354" t="s">
        <v>802</v>
      </c>
      <c r="Q354">
        <v>1</v>
      </c>
      <c r="W354">
        <v>0</v>
      </c>
      <c r="X354">
        <v>1188625873</v>
      </c>
      <c r="Y354">
        <v>1.2E-2</v>
      </c>
      <c r="AA354">
        <v>0</v>
      </c>
      <c r="AB354">
        <v>191.62</v>
      </c>
      <c r="AC354">
        <v>13.5</v>
      </c>
      <c r="AD354">
        <v>0</v>
      </c>
      <c r="AE354">
        <v>0</v>
      </c>
      <c r="AF354">
        <v>31.26</v>
      </c>
      <c r="AG354">
        <v>13.5</v>
      </c>
      <c r="AH354">
        <v>0</v>
      </c>
      <c r="AI354">
        <v>1</v>
      </c>
      <c r="AJ354">
        <v>6.13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3</v>
      </c>
      <c r="AT354">
        <v>0.01</v>
      </c>
      <c r="AU354" t="s">
        <v>371</v>
      </c>
      <c r="AV354">
        <v>0</v>
      </c>
      <c r="AW354">
        <v>2</v>
      </c>
      <c r="AX354">
        <v>39478442</v>
      </c>
      <c r="AY354">
        <v>1</v>
      </c>
      <c r="AZ354">
        <v>0</v>
      </c>
      <c r="BA354">
        <v>330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Y354*Source!I151</f>
        <v>9.6000000000000009E-3</v>
      </c>
      <c r="CY354">
        <f>AB354</f>
        <v>191.62</v>
      </c>
      <c r="CZ354">
        <f>AF354</f>
        <v>31.26</v>
      </c>
      <c r="DA354">
        <f>AJ354</f>
        <v>6.13</v>
      </c>
      <c r="DB354">
        <v>0</v>
      </c>
    </row>
    <row r="355" spans="1:106" x14ac:dyDescent="0.2">
      <c r="A355">
        <f>ROW(Source!A151)</f>
        <v>151</v>
      </c>
      <c r="B355">
        <v>39476960</v>
      </c>
      <c r="C355">
        <v>39478439</v>
      </c>
      <c r="D355">
        <v>36804582</v>
      </c>
      <c r="E355">
        <v>1</v>
      </c>
      <c r="F355">
        <v>1</v>
      </c>
      <c r="G355">
        <v>1</v>
      </c>
      <c r="H355">
        <v>3</v>
      </c>
      <c r="I355" t="s">
        <v>1163</v>
      </c>
      <c r="J355" t="s">
        <v>1164</v>
      </c>
      <c r="K355" t="s">
        <v>1165</v>
      </c>
      <c r="L355">
        <v>1356</v>
      </c>
      <c r="N355">
        <v>1010</v>
      </c>
      <c r="O355" t="s">
        <v>259</v>
      </c>
      <c r="P355" t="s">
        <v>259</v>
      </c>
      <c r="Q355">
        <v>1000</v>
      </c>
      <c r="W355">
        <v>0</v>
      </c>
      <c r="X355">
        <v>1975348994</v>
      </c>
      <c r="Y355">
        <v>0.2</v>
      </c>
      <c r="AA355">
        <v>1103.4000000000001</v>
      </c>
      <c r="AB355">
        <v>0</v>
      </c>
      <c r="AC355">
        <v>0</v>
      </c>
      <c r="AD355">
        <v>0</v>
      </c>
      <c r="AE355">
        <v>180</v>
      </c>
      <c r="AF355">
        <v>0</v>
      </c>
      <c r="AG355">
        <v>0</v>
      </c>
      <c r="AH355">
        <v>0</v>
      </c>
      <c r="AI355">
        <v>6.13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0.2</v>
      </c>
      <c r="AU355" t="s">
        <v>3</v>
      </c>
      <c r="AV355">
        <v>0</v>
      </c>
      <c r="AW355">
        <v>2</v>
      </c>
      <c r="AX355">
        <v>39478443</v>
      </c>
      <c r="AY355">
        <v>1</v>
      </c>
      <c r="AZ355">
        <v>0</v>
      </c>
      <c r="BA355">
        <v>331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Y355*Source!I151</f>
        <v>0.16000000000000003</v>
      </c>
      <c r="CY355">
        <f>AA355</f>
        <v>1103.4000000000001</v>
      </c>
      <c r="CZ355">
        <f>AE355</f>
        <v>180</v>
      </c>
      <c r="DA355">
        <f>AI355</f>
        <v>6.13</v>
      </c>
      <c r="DB355">
        <v>0</v>
      </c>
    </row>
    <row r="356" spans="1:106" x14ac:dyDescent="0.2">
      <c r="A356">
        <f>ROW(Source!A151)</f>
        <v>151</v>
      </c>
      <c r="B356">
        <v>39476960</v>
      </c>
      <c r="C356">
        <v>39478439</v>
      </c>
      <c r="D356">
        <v>36804944</v>
      </c>
      <c r="E356">
        <v>1</v>
      </c>
      <c r="F356">
        <v>1</v>
      </c>
      <c r="G356">
        <v>1</v>
      </c>
      <c r="H356">
        <v>3</v>
      </c>
      <c r="I356" t="s">
        <v>1116</v>
      </c>
      <c r="J356" t="s">
        <v>1117</v>
      </c>
      <c r="K356" t="s">
        <v>1118</v>
      </c>
      <c r="L356">
        <v>1348</v>
      </c>
      <c r="N356">
        <v>1009</v>
      </c>
      <c r="O356" t="s">
        <v>34</v>
      </c>
      <c r="P356" t="s">
        <v>34</v>
      </c>
      <c r="Q356">
        <v>1000</v>
      </c>
      <c r="W356">
        <v>0</v>
      </c>
      <c r="X356">
        <v>-1755229539</v>
      </c>
      <c r="Y356">
        <v>1E-3</v>
      </c>
      <c r="AA356">
        <v>76195.899999999994</v>
      </c>
      <c r="AB356">
        <v>0</v>
      </c>
      <c r="AC356">
        <v>0</v>
      </c>
      <c r="AD356">
        <v>0</v>
      </c>
      <c r="AE356">
        <v>12430</v>
      </c>
      <c r="AF356">
        <v>0</v>
      </c>
      <c r="AG356">
        <v>0</v>
      </c>
      <c r="AH356">
        <v>0</v>
      </c>
      <c r="AI356">
        <v>6.13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1E-3</v>
      </c>
      <c r="AU356" t="s">
        <v>3</v>
      </c>
      <c r="AV356">
        <v>0</v>
      </c>
      <c r="AW356">
        <v>2</v>
      </c>
      <c r="AX356">
        <v>39478444</v>
      </c>
      <c r="AY356">
        <v>1</v>
      </c>
      <c r="AZ356">
        <v>0</v>
      </c>
      <c r="BA356">
        <v>332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Y356*Source!I151</f>
        <v>8.0000000000000004E-4</v>
      </c>
      <c r="CY356">
        <f>AA356</f>
        <v>76195.899999999994</v>
      </c>
      <c r="CZ356">
        <f>AE356</f>
        <v>12430</v>
      </c>
      <c r="DA356">
        <f>AI356</f>
        <v>6.13</v>
      </c>
      <c r="DB356">
        <v>0</v>
      </c>
    </row>
    <row r="357" spans="1:106" x14ac:dyDescent="0.2">
      <c r="A357">
        <f>ROW(Source!A151)</f>
        <v>151</v>
      </c>
      <c r="B357">
        <v>39476960</v>
      </c>
      <c r="C357">
        <v>39478439</v>
      </c>
      <c r="D357">
        <v>36852935</v>
      </c>
      <c r="E357">
        <v>1</v>
      </c>
      <c r="F357">
        <v>1</v>
      </c>
      <c r="G357">
        <v>1</v>
      </c>
      <c r="H357">
        <v>3</v>
      </c>
      <c r="I357" t="s">
        <v>448</v>
      </c>
      <c r="J357" t="s">
        <v>450</v>
      </c>
      <c r="K357" t="s">
        <v>449</v>
      </c>
      <c r="L357">
        <v>1308</v>
      </c>
      <c r="N357">
        <v>1003</v>
      </c>
      <c r="O357" t="s">
        <v>69</v>
      </c>
      <c r="P357" t="s">
        <v>69</v>
      </c>
      <c r="Q357">
        <v>100</v>
      </c>
      <c r="W357">
        <v>0</v>
      </c>
      <c r="X357">
        <v>-624833396</v>
      </c>
      <c r="Y357">
        <v>1</v>
      </c>
      <c r="AA357">
        <v>1048.23</v>
      </c>
      <c r="AB357">
        <v>0</v>
      </c>
      <c r="AC357">
        <v>0</v>
      </c>
      <c r="AD357">
        <v>0</v>
      </c>
      <c r="AE357">
        <v>171</v>
      </c>
      <c r="AF357">
        <v>0</v>
      </c>
      <c r="AG357">
        <v>0</v>
      </c>
      <c r="AH357">
        <v>0</v>
      </c>
      <c r="AI357">
        <v>6.13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3</v>
      </c>
      <c r="AT357">
        <v>1</v>
      </c>
      <c r="AU357" t="s">
        <v>3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Y357*Source!I151</f>
        <v>0.8</v>
      </c>
      <c r="CY357">
        <f>AA357</f>
        <v>1048.23</v>
      </c>
      <c r="CZ357">
        <f>AE357</f>
        <v>171</v>
      </c>
      <c r="DA357">
        <f>AI357</f>
        <v>6.13</v>
      </c>
      <c r="DB357">
        <v>0</v>
      </c>
    </row>
    <row r="358" spans="1:106" x14ac:dyDescent="0.2">
      <c r="A358">
        <f>ROW(Source!A151)</f>
        <v>151</v>
      </c>
      <c r="B358">
        <v>39476960</v>
      </c>
      <c r="C358">
        <v>39478439</v>
      </c>
      <c r="D358">
        <v>36799065</v>
      </c>
      <c r="E358">
        <v>17</v>
      </c>
      <c r="F358">
        <v>1</v>
      </c>
      <c r="G358">
        <v>1</v>
      </c>
      <c r="H358">
        <v>3</v>
      </c>
      <c r="I358" t="s">
        <v>1099</v>
      </c>
      <c r="J358" t="s">
        <v>3</v>
      </c>
      <c r="K358" t="s">
        <v>1100</v>
      </c>
      <c r="L358">
        <v>1374</v>
      </c>
      <c r="N358">
        <v>1013</v>
      </c>
      <c r="O358" t="s">
        <v>1101</v>
      </c>
      <c r="P358" t="s">
        <v>1101</v>
      </c>
      <c r="Q358">
        <v>1</v>
      </c>
      <c r="W358">
        <v>0</v>
      </c>
      <c r="X358">
        <v>-1731369543</v>
      </c>
      <c r="Y358">
        <v>3.1</v>
      </c>
      <c r="AA358">
        <v>1</v>
      </c>
      <c r="AB358">
        <v>0</v>
      </c>
      <c r="AC358">
        <v>0</v>
      </c>
      <c r="AD358">
        <v>0</v>
      </c>
      <c r="AE358">
        <v>1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3.1</v>
      </c>
      <c r="AU358" t="s">
        <v>3</v>
      </c>
      <c r="AV358">
        <v>0</v>
      </c>
      <c r="AW358">
        <v>2</v>
      </c>
      <c r="AX358">
        <v>39478445</v>
      </c>
      <c r="AY358">
        <v>1</v>
      </c>
      <c r="AZ358">
        <v>0</v>
      </c>
      <c r="BA358">
        <v>333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Y358*Source!I151</f>
        <v>2.4800000000000004</v>
      </c>
      <c r="CY358">
        <f>AA358</f>
        <v>1</v>
      </c>
      <c r="CZ358">
        <f>AE358</f>
        <v>1</v>
      </c>
      <c r="DA358">
        <f>AI358</f>
        <v>1</v>
      </c>
      <c r="DB358">
        <v>0</v>
      </c>
    </row>
    <row r="359" spans="1:106" x14ac:dyDescent="0.2">
      <c r="A359">
        <f>ROW(Source!A153)</f>
        <v>153</v>
      </c>
      <c r="B359">
        <v>39476960</v>
      </c>
      <c r="C359">
        <v>39478446</v>
      </c>
      <c r="D359">
        <v>37070202</v>
      </c>
      <c r="E359">
        <v>1</v>
      </c>
      <c r="F359">
        <v>1</v>
      </c>
      <c r="G359">
        <v>1</v>
      </c>
      <c r="H359">
        <v>1</v>
      </c>
      <c r="I359" t="s">
        <v>1137</v>
      </c>
      <c r="J359" t="s">
        <v>3</v>
      </c>
      <c r="K359" t="s">
        <v>1138</v>
      </c>
      <c r="L359">
        <v>1191</v>
      </c>
      <c r="N359">
        <v>1013</v>
      </c>
      <c r="O359" t="s">
        <v>796</v>
      </c>
      <c r="P359" t="s">
        <v>796</v>
      </c>
      <c r="Q359">
        <v>1</v>
      </c>
      <c r="W359">
        <v>0</v>
      </c>
      <c r="X359">
        <v>1983201532</v>
      </c>
      <c r="Y359">
        <v>18.39</v>
      </c>
      <c r="AA359">
        <v>0</v>
      </c>
      <c r="AB359">
        <v>0</v>
      </c>
      <c r="AC359">
        <v>0</v>
      </c>
      <c r="AD359">
        <v>58.3</v>
      </c>
      <c r="AE359">
        <v>0</v>
      </c>
      <c r="AF359">
        <v>0</v>
      </c>
      <c r="AG359">
        <v>0</v>
      </c>
      <c r="AH359">
        <v>9.51</v>
      </c>
      <c r="AI359">
        <v>1</v>
      </c>
      <c r="AJ359">
        <v>1</v>
      </c>
      <c r="AK359">
        <v>1</v>
      </c>
      <c r="AL359">
        <v>6.13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18.39</v>
      </c>
      <c r="AU359" t="s">
        <v>3</v>
      </c>
      <c r="AV359">
        <v>1</v>
      </c>
      <c r="AW359">
        <v>2</v>
      </c>
      <c r="AX359">
        <v>39478447</v>
      </c>
      <c r="AY359">
        <v>1</v>
      </c>
      <c r="AZ359">
        <v>0</v>
      </c>
      <c r="BA359">
        <v>334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Y359*Source!I153</f>
        <v>2.9424000000000001</v>
      </c>
      <c r="CY359">
        <f>AD359</f>
        <v>58.3</v>
      </c>
      <c r="CZ359">
        <f>AH359</f>
        <v>9.51</v>
      </c>
      <c r="DA359">
        <f>AL359</f>
        <v>6.13</v>
      </c>
      <c r="DB359">
        <v>0</v>
      </c>
    </row>
    <row r="360" spans="1:106" x14ac:dyDescent="0.2">
      <c r="A360">
        <f>ROW(Source!A153)</f>
        <v>153</v>
      </c>
      <c r="B360">
        <v>39476960</v>
      </c>
      <c r="C360">
        <v>39478446</v>
      </c>
      <c r="D360">
        <v>37064876</v>
      </c>
      <c r="E360">
        <v>1</v>
      </c>
      <c r="F360">
        <v>1</v>
      </c>
      <c r="G360">
        <v>1</v>
      </c>
      <c r="H360">
        <v>1</v>
      </c>
      <c r="I360" t="s">
        <v>797</v>
      </c>
      <c r="J360" t="s">
        <v>3</v>
      </c>
      <c r="K360" t="s">
        <v>798</v>
      </c>
      <c r="L360">
        <v>1191</v>
      </c>
      <c r="N360">
        <v>1013</v>
      </c>
      <c r="O360" t="s">
        <v>796</v>
      </c>
      <c r="P360" t="s">
        <v>796</v>
      </c>
      <c r="Q360">
        <v>1</v>
      </c>
      <c r="W360">
        <v>0</v>
      </c>
      <c r="X360">
        <v>-1417349443</v>
      </c>
      <c r="Y360">
        <v>0.01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6.13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0.01</v>
      </c>
      <c r="AU360" t="s">
        <v>3</v>
      </c>
      <c r="AV360">
        <v>2</v>
      </c>
      <c r="AW360">
        <v>2</v>
      </c>
      <c r="AX360">
        <v>39478448</v>
      </c>
      <c r="AY360">
        <v>1</v>
      </c>
      <c r="AZ360">
        <v>0</v>
      </c>
      <c r="BA360">
        <v>335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Y360*Source!I153</f>
        <v>1.6000000000000001E-3</v>
      </c>
      <c r="CY360">
        <f>AD360</f>
        <v>0</v>
      </c>
      <c r="CZ360">
        <f>AH360</f>
        <v>0</v>
      </c>
      <c r="DA360">
        <f>AL360</f>
        <v>1</v>
      </c>
      <c r="DB360">
        <v>0</v>
      </c>
    </row>
    <row r="361" spans="1:106" x14ac:dyDescent="0.2">
      <c r="A361">
        <f>ROW(Source!A153)</f>
        <v>153</v>
      </c>
      <c r="B361">
        <v>39476960</v>
      </c>
      <c r="C361">
        <v>39478446</v>
      </c>
      <c r="D361">
        <v>36882452</v>
      </c>
      <c r="E361">
        <v>1</v>
      </c>
      <c r="F361">
        <v>1</v>
      </c>
      <c r="G361">
        <v>1</v>
      </c>
      <c r="H361">
        <v>2</v>
      </c>
      <c r="I361" t="s">
        <v>799</v>
      </c>
      <c r="J361" t="s">
        <v>800</v>
      </c>
      <c r="K361" t="s">
        <v>801</v>
      </c>
      <c r="L361">
        <v>1368</v>
      </c>
      <c r="N361">
        <v>1011</v>
      </c>
      <c r="O361" t="s">
        <v>802</v>
      </c>
      <c r="P361" t="s">
        <v>802</v>
      </c>
      <c r="Q361">
        <v>1</v>
      </c>
      <c r="W361">
        <v>0</v>
      </c>
      <c r="X361">
        <v>1188625873</v>
      </c>
      <c r="Y361">
        <v>0.01</v>
      </c>
      <c r="AA361">
        <v>0</v>
      </c>
      <c r="AB361">
        <v>191.62</v>
      </c>
      <c r="AC361">
        <v>13.5</v>
      </c>
      <c r="AD361">
        <v>0</v>
      </c>
      <c r="AE361">
        <v>0</v>
      </c>
      <c r="AF361">
        <v>31.26</v>
      </c>
      <c r="AG361">
        <v>13.5</v>
      </c>
      <c r="AH361">
        <v>0</v>
      </c>
      <c r="AI361">
        <v>1</v>
      </c>
      <c r="AJ361">
        <v>6.13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0.01</v>
      </c>
      <c r="AU361" t="s">
        <v>3</v>
      </c>
      <c r="AV361">
        <v>0</v>
      </c>
      <c r="AW361">
        <v>2</v>
      </c>
      <c r="AX361">
        <v>39478449</v>
      </c>
      <c r="AY361">
        <v>1</v>
      </c>
      <c r="AZ361">
        <v>0</v>
      </c>
      <c r="BA361">
        <v>336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Y361*Source!I153</f>
        <v>1.6000000000000001E-3</v>
      </c>
      <c r="CY361">
        <f>AB361</f>
        <v>191.62</v>
      </c>
      <c r="CZ361">
        <f>AF361</f>
        <v>31.26</v>
      </c>
      <c r="DA361">
        <f>AJ361</f>
        <v>6.13</v>
      </c>
      <c r="DB361">
        <v>0</v>
      </c>
    </row>
    <row r="362" spans="1:106" x14ac:dyDescent="0.2">
      <c r="A362">
        <f>ROW(Source!A153)</f>
        <v>153</v>
      </c>
      <c r="B362">
        <v>39476960</v>
      </c>
      <c r="C362">
        <v>39478446</v>
      </c>
      <c r="D362">
        <v>36804582</v>
      </c>
      <c r="E362">
        <v>1</v>
      </c>
      <c r="F362">
        <v>1</v>
      </c>
      <c r="G362">
        <v>1</v>
      </c>
      <c r="H362">
        <v>3</v>
      </c>
      <c r="I362" t="s">
        <v>1163</v>
      </c>
      <c r="J362" t="s">
        <v>1164</v>
      </c>
      <c r="K362" t="s">
        <v>1165</v>
      </c>
      <c r="L362">
        <v>1356</v>
      </c>
      <c r="N362">
        <v>1010</v>
      </c>
      <c r="O362" t="s">
        <v>259</v>
      </c>
      <c r="P362" t="s">
        <v>259</v>
      </c>
      <c r="Q362">
        <v>1000</v>
      </c>
      <c r="W362">
        <v>0</v>
      </c>
      <c r="X362">
        <v>1975348994</v>
      </c>
      <c r="Y362">
        <v>0.3</v>
      </c>
      <c r="AA362">
        <v>1103.4000000000001</v>
      </c>
      <c r="AB362">
        <v>0</v>
      </c>
      <c r="AC362">
        <v>0</v>
      </c>
      <c r="AD362">
        <v>0</v>
      </c>
      <c r="AE362">
        <v>180</v>
      </c>
      <c r="AF362">
        <v>0</v>
      </c>
      <c r="AG362">
        <v>0</v>
      </c>
      <c r="AH362">
        <v>0</v>
      </c>
      <c r="AI362">
        <v>6.13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0.3</v>
      </c>
      <c r="AU362" t="s">
        <v>3</v>
      </c>
      <c r="AV362">
        <v>0</v>
      </c>
      <c r="AW362">
        <v>2</v>
      </c>
      <c r="AX362">
        <v>39478450</v>
      </c>
      <c r="AY362">
        <v>1</v>
      </c>
      <c r="AZ362">
        <v>0</v>
      </c>
      <c r="BA362">
        <v>337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Y362*Source!I153</f>
        <v>4.8000000000000001E-2</v>
      </c>
      <c r="CY362">
        <f>AA362</f>
        <v>1103.4000000000001</v>
      </c>
      <c r="CZ362">
        <f>AE362</f>
        <v>180</v>
      </c>
      <c r="DA362">
        <f>AI362</f>
        <v>6.13</v>
      </c>
      <c r="DB362">
        <v>0</v>
      </c>
    </row>
    <row r="363" spans="1:106" x14ac:dyDescent="0.2">
      <c r="A363">
        <f>ROW(Source!A153)</f>
        <v>153</v>
      </c>
      <c r="B363">
        <v>39476960</v>
      </c>
      <c r="C363">
        <v>39478446</v>
      </c>
      <c r="D363">
        <v>36804944</v>
      </c>
      <c r="E363">
        <v>1</v>
      </c>
      <c r="F363">
        <v>1</v>
      </c>
      <c r="G363">
        <v>1</v>
      </c>
      <c r="H363">
        <v>3</v>
      </c>
      <c r="I363" t="s">
        <v>1116</v>
      </c>
      <c r="J363" t="s">
        <v>1117</v>
      </c>
      <c r="K363" t="s">
        <v>1118</v>
      </c>
      <c r="L363">
        <v>1348</v>
      </c>
      <c r="N363">
        <v>1009</v>
      </c>
      <c r="O363" t="s">
        <v>34</v>
      </c>
      <c r="P363" t="s">
        <v>34</v>
      </c>
      <c r="Q363">
        <v>1000</v>
      </c>
      <c r="W363">
        <v>0</v>
      </c>
      <c r="X363">
        <v>-1755229539</v>
      </c>
      <c r="Y363">
        <v>1E-3</v>
      </c>
      <c r="AA363">
        <v>76195.899999999994</v>
      </c>
      <c r="AB363">
        <v>0</v>
      </c>
      <c r="AC363">
        <v>0</v>
      </c>
      <c r="AD363">
        <v>0</v>
      </c>
      <c r="AE363">
        <v>12430</v>
      </c>
      <c r="AF363">
        <v>0</v>
      </c>
      <c r="AG363">
        <v>0</v>
      </c>
      <c r="AH363">
        <v>0</v>
      </c>
      <c r="AI363">
        <v>6.13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1E-3</v>
      </c>
      <c r="AU363" t="s">
        <v>3</v>
      </c>
      <c r="AV363">
        <v>0</v>
      </c>
      <c r="AW363">
        <v>2</v>
      </c>
      <c r="AX363">
        <v>39478451</v>
      </c>
      <c r="AY363">
        <v>1</v>
      </c>
      <c r="AZ363">
        <v>0</v>
      </c>
      <c r="BA363">
        <v>338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Y363*Source!I153</f>
        <v>1.6000000000000001E-4</v>
      </c>
      <c r="CY363">
        <f>AA363</f>
        <v>76195.899999999994</v>
      </c>
      <c r="CZ363">
        <f>AE363</f>
        <v>12430</v>
      </c>
      <c r="DA363">
        <f>AI363</f>
        <v>6.13</v>
      </c>
      <c r="DB363">
        <v>0</v>
      </c>
    </row>
    <row r="364" spans="1:106" x14ac:dyDescent="0.2">
      <c r="A364">
        <f>ROW(Source!A153)</f>
        <v>153</v>
      </c>
      <c r="B364">
        <v>39476960</v>
      </c>
      <c r="C364">
        <v>39478446</v>
      </c>
      <c r="D364">
        <v>36852940</v>
      </c>
      <c r="E364">
        <v>1</v>
      </c>
      <c r="F364">
        <v>1</v>
      </c>
      <c r="G364">
        <v>1</v>
      </c>
      <c r="H364">
        <v>3</v>
      </c>
      <c r="I364" t="s">
        <v>456</v>
      </c>
      <c r="J364" t="s">
        <v>458</v>
      </c>
      <c r="K364" t="s">
        <v>457</v>
      </c>
      <c r="L364">
        <v>1308</v>
      </c>
      <c r="N364">
        <v>1003</v>
      </c>
      <c r="O364" t="s">
        <v>69</v>
      </c>
      <c r="P364" t="s">
        <v>69</v>
      </c>
      <c r="Q364">
        <v>100</v>
      </c>
      <c r="W364">
        <v>0</v>
      </c>
      <c r="X364">
        <v>-518315028</v>
      </c>
      <c r="Y364">
        <v>1</v>
      </c>
      <c r="AA364">
        <v>4168.3999999999996</v>
      </c>
      <c r="AB364">
        <v>0</v>
      </c>
      <c r="AC364">
        <v>0</v>
      </c>
      <c r="AD364">
        <v>0</v>
      </c>
      <c r="AE364">
        <v>680</v>
      </c>
      <c r="AF364">
        <v>0</v>
      </c>
      <c r="AG364">
        <v>0</v>
      </c>
      <c r="AH364">
        <v>0</v>
      </c>
      <c r="AI364">
        <v>6.13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3</v>
      </c>
      <c r="AT364">
        <v>1</v>
      </c>
      <c r="AU364" t="s">
        <v>3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3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Y364*Source!I153</f>
        <v>0.16</v>
      </c>
      <c r="CY364">
        <f>AA364</f>
        <v>4168.3999999999996</v>
      </c>
      <c r="CZ364">
        <f>AE364</f>
        <v>680</v>
      </c>
      <c r="DA364">
        <f>AI364</f>
        <v>6.13</v>
      </c>
      <c r="DB364">
        <v>0</v>
      </c>
    </row>
    <row r="365" spans="1:106" x14ac:dyDescent="0.2">
      <c r="A365">
        <f>ROW(Source!A153)</f>
        <v>153</v>
      </c>
      <c r="B365">
        <v>39476960</v>
      </c>
      <c r="C365">
        <v>39478446</v>
      </c>
      <c r="D365">
        <v>36799065</v>
      </c>
      <c r="E365">
        <v>17</v>
      </c>
      <c r="F365">
        <v>1</v>
      </c>
      <c r="G365">
        <v>1</v>
      </c>
      <c r="H365">
        <v>3</v>
      </c>
      <c r="I365" t="s">
        <v>1099</v>
      </c>
      <c r="J365" t="s">
        <v>3</v>
      </c>
      <c r="K365" t="s">
        <v>1100</v>
      </c>
      <c r="L365">
        <v>1374</v>
      </c>
      <c r="N365">
        <v>1013</v>
      </c>
      <c r="O365" t="s">
        <v>1101</v>
      </c>
      <c r="P365" t="s">
        <v>1101</v>
      </c>
      <c r="Q365">
        <v>1</v>
      </c>
      <c r="W365">
        <v>0</v>
      </c>
      <c r="X365">
        <v>-1731369543</v>
      </c>
      <c r="Y365">
        <v>3.5</v>
      </c>
      <c r="AA365">
        <v>1</v>
      </c>
      <c r="AB365">
        <v>0</v>
      </c>
      <c r="AC365">
        <v>0</v>
      </c>
      <c r="AD365">
        <v>0</v>
      </c>
      <c r="AE365">
        <v>1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3.5</v>
      </c>
      <c r="AU365" t="s">
        <v>3</v>
      </c>
      <c r="AV365">
        <v>0</v>
      </c>
      <c r="AW365">
        <v>2</v>
      </c>
      <c r="AX365">
        <v>39478452</v>
      </c>
      <c r="AY365">
        <v>1</v>
      </c>
      <c r="AZ365">
        <v>0</v>
      </c>
      <c r="BA365">
        <v>339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Y365*Source!I153</f>
        <v>0.56000000000000005</v>
      </c>
      <c r="CY365">
        <f>AA365</f>
        <v>1</v>
      </c>
      <c r="CZ365">
        <f>AE365</f>
        <v>1</v>
      </c>
      <c r="DA365">
        <f>AI365</f>
        <v>1</v>
      </c>
      <c r="DB365">
        <v>0</v>
      </c>
    </row>
    <row r="366" spans="1:106" x14ac:dyDescent="0.2">
      <c r="A366">
        <f>ROW(Source!A155)</f>
        <v>155</v>
      </c>
      <c r="B366">
        <v>39476960</v>
      </c>
      <c r="C366">
        <v>39478463</v>
      </c>
      <c r="D366">
        <v>37072767</v>
      </c>
      <c r="E366">
        <v>1</v>
      </c>
      <c r="F366">
        <v>1</v>
      </c>
      <c r="G366">
        <v>1</v>
      </c>
      <c r="H366">
        <v>1</v>
      </c>
      <c r="I366" t="s">
        <v>949</v>
      </c>
      <c r="J366" t="s">
        <v>3</v>
      </c>
      <c r="K366" t="s">
        <v>950</v>
      </c>
      <c r="L366">
        <v>1191</v>
      </c>
      <c r="N366">
        <v>1013</v>
      </c>
      <c r="O366" t="s">
        <v>796</v>
      </c>
      <c r="P366" t="s">
        <v>796</v>
      </c>
      <c r="Q366">
        <v>1</v>
      </c>
      <c r="W366">
        <v>0</v>
      </c>
      <c r="X366">
        <v>-1027537862</v>
      </c>
      <c r="Y366">
        <v>18.239999999999998</v>
      </c>
      <c r="AA366">
        <v>0</v>
      </c>
      <c r="AB366">
        <v>0</v>
      </c>
      <c r="AC366">
        <v>0</v>
      </c>
      <c r="AD366">
        <v>56.27</v>
      </c>
      <c r="AE366">
        <v>0</v>
      </c>
      <c r="AF366">
        <v>0</v>
      </c>
      <c r="AG366">
        <v>0</v>
      </c>
      <c r="AH366">
        <v>9.18</v>
      </c>
      <c r="AI366">
        <v>1</v>
      </c>
      <c r="AJ366">
        <v>1</v>
      </c>
      <c r="AK366">
        <v>1</v>
      </c>
      <c r="AL366">
        <v>6.13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15.2</v>
      </c>
      <c r="AU366" t="s">
        <v>371</v>
      </c>
      <c r="AV366">
        <v>1</v>
      </c>
      <c r="AW366">
        <v>2</v>
      </c>
      <c r="AX366">
        <v>39478467</v>
      </c>
      <c r="AY366">
        <v>1</v>
      </c>
      <c r="AZ366">
        <v>0</v>
      </c>
      <c r="BA366">
        <v>340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Y366*Source!I155</f>
        <v>14.591999999999999</v>
      </c>
      <c r="CY366">
        <f>AD366</f>
        <v>56.27</v>
      </c>
      <c r="CZ366">
        <f>AH366</f>
        <v>9.18</v>
      </c>
      <c r="DA366">
        <f>AL366</f>
        <v>6.13</v>
      </c>
      <c r="DB366">
        <v>0</v>
      </c>
    </row>
    <row r="367" spans="1:106" x14ac:dyDescent="0.2">
      <c r="A367">
        <f>ROW(Source!A155)</f>
        <v>155</v>
      </c>
      <c r="B367">
        <v>39476960</v>
      </c>
      <c r="C367">
        <v>39478463</v>
      </c>
      <c r="D367">
        <v>36804661</v>
      </c>
      <c r="E367">
        <v>1</v>
      </c>
      <c r="F367">
        <v>1</v>
      </c>
      <c r="G367">
        <v>1</v>
      </c>
      <c r="H367">
        <v>3</v>
      </c>
      <c r="I367" t="s">
        <v>1166</v>
      </c>
      <c r="J367" t="s">
        <v>1167</v>
      </c>
      <c r="K367" t="s">
        <v>1168</v>
      </c>
      <c r="L367">
        <v>1355</v>
      </c>
      <c r="N367">
        <v>1010</v>
      </c>
      <c r="O367" t="s">
        <v>429</v>
      </c>
      <c r="P367" t="s">
        <v>429</v>
      </c>
      <c r="Q367">
        <v>100</v>
      </c>
      <c r="W367">
        <v>0</v>
      </c>
      <c r="X367">
        <v>1135215184</v>
      </c>
      <c r="Y367">
        <v>1.75</v>
      </c>
      <c r="AA367">
        <v>49.04</v>
      </c>
      <c r="AB367">
        <v>0</v>
      </c>
      <c r="AC367">
        <v>0</v>
      </c>
      <c r="AD367">
        <v>0</v>
      </c>
      <c r="AE367">
        <v>8</v>
      </c>
      <c r="AF367">
        <v>0</v>
      </c>
      <c r="AG367">
        <v>0</v>
      </c>
      <c r="AH367">
        <v>0</v>
      </c>
      <c r="AI367">
        <v>6.13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1.75</v>
      </c>
      <c r="AU367" t="s">
        <v>3</v>
      </c>
      <c r="AV367">
        <v>0</v>
      </c>
      <c r="AW367">
        <v>2</v>
      </c>
      <c r="AX367">
        <v>39478468</v>
      </c>
      <c r="AY367">
        <v>1</v>
      </c>
      <c r="AZ367">
        <v>0</v>
      </c>
      <c r="BA367">
        <v>341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Y367*Source!I155</f>
        <v>1.4000000000000001</v>
      </c>
      <c r="CY367">
        <f>AA367</f>
        <v>49.04</v>
      </c>
      <c r="CZ367">
        <f>AE367</f>
        <v>8</v>
      </c>
      <c r="DA367">
        <f>AI367</f>
        <v>6.13</v>
      </c>
      <c r="DB367">
        <v>0</v>
      </c>
    </row>
    <row r="368" spans="1:106" x14ac:dyDescent="0.2">
      <c r="A368">
        <f>ROW(Source!A155)</f>
        <v>155</v>
      </c>
      <c r="B368">
        <v>39476960</v>
      </c>
      <c r="C368">
        <v>39478463</v>
      </c>
      <c r="D368">
        <v>36853930</v>
      </c>
      <c r="E368">
        <v>1</v>
      </c>
      <c r="F368">
        <v>1</v>
      </c>
      <c r="G368">
        <v>1</v>
      </c>
      <c r="H368">
        <v>3</v>
      </c>
      <c r="I368" t="s">
        <v>464</v>
      </c>
      <c r="J368" t="s">
        <v>467</v>
      </c>
      <c r="K368" t="s">
        <v>465</v>
      </c>
      <c r="L368">
        <v>1302</v>
      </c>
      <c r="N368">
        <v>1003</v>
      </c>
      <c r="O368" t="s">
        <v>466</v>
      </c>
      <c r="P368" t="s">
        <v>466</v>
      </c>
      <c r="Q368">
        <v>10</v>
      </c>
      <c r="W368">
        <v>0</v>
      </c>
      <c r="X368">
        <v>-1803119937</v>
      </c>
      <c r="Y368">
        <v>10</v>
      </c>
      <c r="AA368">
        <v>76.010000000000005</v>
      </c>
      <c r="AB368">
        <v>0</v>
      </c>
      <c r="AC368">
        <v>0</v>
      </c>
      <c r="AD368">
        <v>0</v>
      </c>
      <c r="AE368">
        <v>12.4</v>
      </c>
      <c r="AF368">
        <v>0</v>
      </c>
      <c r="AG368">
        <v>0</v>
      </c>
      <c r="AH368">
        <v>0</v>
      </c>
      <c r="AI368">
        <v>6.13</v>
      </c>
      <c r="AJ368">
        <v>1</v>
      </c>
      <c r="AK368">
        <v>1</v>
      </c>
      <c r="AL368">
        <v>1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3</v>
      </c>
      <c r="AT368">
        <v>10</v>
      </c>
      <c r="AU368" t="s">
        <v>3</v>
      </c>
      <c r="AV368">
        <v>0</v>
      </c>
      <c r="AW368">
        <v>1</v>
      </c>
      <c r="AX368">
        <v>-1</v>
      </c>
      <c r="AY368">
        <v>0</v>
      </c>
      <c r="AZ368">
        <v>0</v>
      </c>
      <c r="BA368" t="s">
        <v>3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Y368*Source!I155</f>
        <v>8</v>
      </c>
      <c r="CY368">
        <f>AA368</f>
        <v>76.010000000000005</v>
      </c>
      <c r="CZ368">
        <f>AE368</f>
        <v>12.4</v>
      </c>
      <c r="DA368">
        <f>AI368</f>
        <v>6.13</v>
      </c>
      <c r="DB368">
        <v>0</v>
      </c>
    </row>
    <row r="369" spans="1:106" x14ac:dyDescent="0.2">
      <c r="A369">
        <f>ROW(Source!A155)</f>
        <v>155</v>
      </c>
      <c r="B369">
        <v>39476960</v>
      </c>
      <c r="C369">
        <v>39478463</v>
      </c>
      <c r="D369">
        <v>36799065</v>
      </c>
      <c r="E369">
        <v>17</v>
      </c>
      <c r="F369">
        <v>1</v>
      </c>
      <c r="G369">
        <v>1</v>
      </c>
      <c r="H369">
        <v>3</v>
      </c>
      <c r="I369" t="s">
        <v>1099</v>
      </c>
      <c r="J369" t="s">
        <v>3</v>
      </c>
      <c r="K369" t="s">
        <v>1100</v>
      </c>
      <c r="L369">
        <v>1374</v>
      </c>
      <c r="N369">
        <v>1013</v>
      </c>
      <c r="O369" t="s">
        <v>1101</v>
      </c>
      <c r="P369" t="s">
        <v>1101</v>
      </c>
      <c r="Q369">
        <v>1</v>
      </c>
      <c r="W369">
        <v>0</v>
      </c>
      <c r="X369">
        <v>-1731369543</v>
      </c>
      <c r="Y369">
        <v>2.79</v>
      </c>
      <c r="AA369">
        <v>1</v>
      </c>
      <c r="AB369">
        <v>0</v>
      </c>
      <c r="AC369">
        <v>0</v>
      </c>
      <c r="AD369">
        <v>0</v>
      </c>
      <c r="AE369">
        <v>1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2.79</v>
      </c>
      <c r="AU369" t="s">
        <v>3</v>
      </c>
      <c r="AV369">
        <v>0</v>
      </c>
      <c r="AW369">
        <v>2</v>
      </c>
      <c r="AX369">
        <v>39478469</v>
      </c>
      <c r="AY369">
        <v>1</v>
      </c>
      <c r="AZ369">
        <v>0</v>
      </c>
      <c r="BA369">
        <v>342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Y369*Source!I155</f>
        <v>2.2320000000000002</v>
      </c>
      <c r="CY369">
        <f>AA369</f>
        <v>1</v>
      </c>
      <c r="CZ369">
        <f>AE369</f>
        <v>1</v>
      </c>
      <c r="DA369">
        <f>AI369</f>
        <v>1</v>
      </c>
      <c r="DB369">
        <v>0</v>
      </c>
    </row>
    <row r="370" spans="1:106" x14ac:dyDescent="0.2">
      <c r="A370">
        <f>ROW(Source!A157)</f>
        <v>157</v>
      </c>
      <c r="B370">
        <v>39476960</v>
      </c>
      <c r="C370">
        <v>39478474</v>
      </c>
      <c r="D370">
        <v>37080781</v>
      </c>
      <c r="E370">
        <v>1</v>
      </c>
      <c r="F370">
        <v>1</v>
      </c>
      <c r="G370">
        <v>1</v>
      </c>
      <c r="H370">
        <v>1</v>
      </c>
      <c r="I370" t="s">
        <v>1129</v>
      </c>
      <c r="J370" t="s">
        <v>3</v>
      </c>
      <c r="K370" t="s">
        <v>1130</v>
      </c>
      <c r="L370">
        <v>1191</v>
      </c>
      <c r="N370">
        <v>1013</v>
      </c>
      <c r="O370" t="s">
        <v>796</v>
      </c>
      <c r="P370" t="s">
        <v>796</v>
      </c>
      <c r="Q370">
        <v>1</v>
      </c>
      <c r="W370">
        <v>0</v>
      </c>
      <c r="X370">
        <v>912892513</v>
      </c>
      <c r="Y370">
        <v>177.6</v>
      </c>
      <c r="AA370">
        <v>0</v>
      </c>
      <c r="AB370">
        <v>0</v>
      </c>
      <c r="AC370">
        <v>0</v>
      </c>
      <c r="AD370">
        <v>60.81</v>
      </c>
      <c r="AE370">
        <v>0</v>
      </c>
      <c r="AF370">
        <v>0</v>
      </c>
      <c r="AG370">
        <v>0</v>
      </c>
      <c r="AH370">
        <v>9.92</v>
      </c>
      <c r="AI370">
        <v>1</v>
      </c>
      <c r="AJ370">
        <v>1</v>
      </c>
      <c r="AK370">
        <v>1</v>
      </c>
      <c r="AL370">
        <v>6.13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148</v>
      </c>
      <c r="AU370" t="s">
        <v>371</v>
      </c>
      <c r="AV370">
        <v>1</v>
      </c>
      <c r="AW370">
        <v>2</v>
      </c>
      <c r="AX370">
        <v>39478475</v>
      </c>
      <c r="AY370">
        <v>1</v>
      </c>
      <c r="AZ370">
        <v>0</v>
      </c>
      <c r="BA370">
        <v>343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Y370*Source!I157</f>
        <v>42.623999999999995</v>
      </c>
      <c r="CY370">
        <f>AD370</f>
        <v>60.81</v>
      </c>
      <c r="CZ370">
        <f>AH370</f>
        <v>9.92</v>
      </c>
      <c r="DA370">
        <f>AL370</f>
        <v>6.13</v>
      </c>
      <c r="DB370">
        <v>0</v>
      </c>
    </row>
    <row r="371" spans="1:106" x14ac:dyDescent="0.2">
      <c r="A371">
        <f>ROW(Source!A157)</f>
        <v>157</v>
      </c>
      <c r="B371">
        <v>39476960</v>
      </c>
      <c r="C371">
        <v>39478474</v>
      </c>
      <c r="D371">
        <v>37064876</v>
      </c>
      <c r="E371">
        <v>1</v>
      </c>
      <c r="F371">
        <v>1</v>
      </c>
      <c r="G371">
        <v>1</v>
      </c>
      <c r="H371">
        <v>1</v>
      </c>
      <c r="I371" t="s">
        <v>797</v>
      </c>
      <c r="J371" t="s">
        <v>3</v>
      </c>
      <c r="K371" t="s">
        <v>798</v>
      </c>
      <c r="L371">
        <v>1191</v>
      </c>
      <c r="N371">
        <v>1013</v>
      </c>
      <c r="O371" t="s">
        <v>796</v>
      </c>
      <c r="P371" t="s">
        <v>796</v>
      </c>
      <c r="Q371">
        <v>1</v>
      </c>
      <c r="W371">
        <v>0</v>
      </c>
      <c r="X371">
        <v>-1417349443</v>
      </c>
      <c r="Y371">
        <v>0.6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6.13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0.6</v>
      </c>
      <c r="AU371" t="s">
        <v>3</v>
      </c>
      <c r="AV371">
        <v>2</v>
      </c>
      <c r="AW371">
        <v>2</v>
      </c>
      <c r="AX371">
        <v>39478476</v>
      </c>
      <c r="AY371">
        <v>1</v>
      </c>
      <c r="AZ371">
        <v>2048</v>
      </c>
      <c r="BA371">
        <v>344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Y371*Source!I157</f>
        <v>0.14399999999999999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ROW(Source!A157)</f>
        <v>157</v>
      </c>
      <c r="B372">
        <v>39476960</v>
      </c>
      <c r="C372">
        <v>39478474</v>
      </c>
      <c r="D372">
        <v>36882159</v>
      </c>
      <c r="E372">
        <v>1</v>
      </c>
      <c r="F372">
        <v>1</v>
      </c>
      <c r="G372">
        <v>1</v>
      </c>
      <c r="H372">
        <v>2</v>
      </c>
      <c r="I372" t="s">
        <v>825</v>
      </c>
      <c r="J372" t="s">
        <v>826</v>
      </c>
      <c r="K372" t="s">
        <v>827</v>
      </c>
      <c r="L372">
        <v>1368</v>
      </c>
      <c r="N372">
        <v>1011</v>
      </c>
      <c r="O372" t="s">
        <v>802</v>
      </c>
      <c r="P372" t="s">
        <v>802</v>
      </c>
      <c r="Q372">
        <v>1</v>
      </c>
      <c r="W372">
        <v>0</v>
      </c>
      <c r="X372">
        <v>-1718674368</v>
      </c>
      <c r="Y372">
        <v>0.36</v>
      </c>
      <c r="AA372">
        <v>0</v>
      </c>
      <c r="AB372">
        <v>686.5</v>
      </c>
      <c r="AC372">
        <v>13.5</v>
      </c>
      <c r="AD372">
        <v>0</v>
      </c>
      <c r="AE372">
        <v>0</v>
      </c>
      <c r="AF372">
        <v>111.99</v>
      </c>
      <c r="AG372">
        <v>13.5</v>
      </c>
      <c r="AH372">
        <v>0</v>
      </c>
      <c r="AI372">
        <v>1</v>
      </c>
      <c r="AJ372">
        <v>6.13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0.3</v>
      </c>
      <c r="AU372" t="s">
        <v>371</v>
      </c>
      <c r="AV372">
        <v>0</v>
      </c>
      <c r="AW372">
        <v>2</v>
      </c>
      <c r="AX372">
        <v>39478477</v>
      </c>
      <c r="AY372">
        <v>1</v>
      </c>
      <c r="AZ372">
        <v>0</v>
      </c>
      <c r="BA372">
        <v>345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Y372*Source!I157</f>
        <v>8.6399999999999991E-2</v>
      </c>
      <c r="CY372">
        <f>AB372</f>
        <v>686.5</v>
      </c>
      <c r="CZ372">
        <f>AF372</f>
        <v>111.99</v>
      </c>
      <c r="DA372">
        <f>AJ372</f>
        <v>6.13</v>
      </c>
      <c r="DB372">
        <v>0</v>
      </c>
    </row>
    <row r="373" spans="1:106" x14ac:dyDescent="0.2">
      <c r="A373">
        <f>ROW(Source!A157)</f>
        <v>157</v>
      </c>
      <c r="B373">
        <v>39476960</v>
      </c>
      <c r="C373">
        <v>39478474</v>
      </c>
      <c r="D373">
        <v>36883554</v>
      </c>
      <c r="E373">
        <v>1</v>
      </c>
      <c r="F373">
        <v>1</v>
      </c>
      <c r="G373">
        <v>1</v>
      </c>
      <c r="H373">
        <v>2</v>
      </c>
      <c r="I373" t="s">
        <v>834</v>
      </c>
      <c r="J373" t="s">
        <v>835</v>
      </c>
      <c r="K373" t="s">
        <v>836</v>
      </c>
      <c r="L373">
        <v>1368</v>
      </c>
      <c r="N373">
        <v>1011</v>
      </c>
      <c r="O373" t="s">
        <v>802</v>
      </c>
      <c r="P373" t="s">
        <v>802</v>
      </c>
      <c r="Q373">
        <v>1</v>
      </c>
      <c r="W373">
        <v>0</v>
      </c>
      <c r="X373">
        <v>1372534845</v>
      </c>
      <c r="Y373">
        <v>0.36</v>
      </c>
      <c r="AA373">
        <v>0</v>
      </c>
      <c r="AB373">
        <v>402.8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6.13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0.3</v>
      </c>
      <c r="AU373" t="s">
        <v>371</v>
      </c>
      <c r="AV373">
        <v>0</v>
      </c>
      <c r="AW373">
        <v>2</v>
      </c>
      <c r="AX373">
        <v>39478478</v>
      </c>
      <c r="AY373">
        <v>1</v>
      </c>
      <c r="AZ373">
        <v>0</v>
      </c>
      <c r="BA373">
        <v>346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Y373*Source!I157</f>
        <v>8.6399999999999991E-2</v>
      </c>
      <c r="CY373">
        <f>AB373</f>
        <v>402.8</v>
      </c>
      <c r="CZ373">
        <f>AF373</f>
        <v>65.709999999999994</v>
      </c>
      <c r="DA373">
        <f>AJ373</f>
        <v>6.13</v>
      </c>
      <c r="DB373">
        <v>0</v>
      </c>
    </row>
    <row r="374" spans="1:106" x14ac:dyDescent="0.2">
      <c r="A374">
        <f>ROW(Source!A157)</f>
        <v>157</v>
      </c>
      <c r="B374">
        <v>39476960</v>
      </c>
      <c r="C374">
        <v>39478474</v>
      </c>
      <c r="D374">
        <v>36806488</v>
      </c>
      <c r="E374">
        <v>1</v>
      </c>
      <c r="F374">
        <v>1</v>
      </c>
      <c r="G374">
        <v>1</v>
      </c>
      <c r="H374">
        <v>3</v>
      </c>
      <c r="I374" t="s">
        <v>931</v>
      </c>
      <c r="J374" t="s">
        <v>932</v>
      </c>
      <c r="K374" t="s">
        <v>933</v>
      </c>
      <c r="L374">
        <v>1348</v>
      </c>
      <c r="N374">
        <v>1009</v>
      </c>
      <c r="O374" t="s">
        <v>34</v>
      </c>
      <c r="P374" t="s">
        <v>34</v>
      </c>
      <c r="Q374">
        <v>1000</v>
      </c>
      <c r="W374">
        <v>0</v>
      </c>
      <c r="X374">
        <v>-1421715385</v>
      </c>
      <c r="Y374">
        <v>3.15E-3</v>
      </c>
      <c r="AA374">
        <v>4474.78</v>
      </c>
      <c r="AB374">
        <v>0</v>
      </c>
      <c r="AC374">
        <v>0</v>
      </c>
      <c r="AD374">
        <v>0</v>
      </c>
      <c r="AE374">
        <v>729.98</v>
      </c>
      <c r="AF374">
        <v>0</v>
      </c>
      <c r="AG374">
        <v>0</v>
      </c>
      <c r="AH374">
        <v>0</v>
      </c>
      <c r="AI374">
        <v>6.13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3.15E-3</v>
      </c>
      <c r="AU374" t="s">
        <v>3</v>
      </c>
      <c r="AV374">
        <v>0</v>
      </c>
      <c r="AW374">
        <v>2</v>
      </c>
      <c r="AX374">
        <v>39478479</v>
      </c>
      <c r="AY374">
        <v>1</v>
      </c>
      <c r="AZ374">
        <v>0</v>
      </c>
      <c r="BA374">
        <v>347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Y374*Source!I157</f>
        <v>7.5599999999999994E-4</v>
      </c>
      <c r="CY374">
        <f>AA374</f>
        <v>4474.78</v>
      </c>
      <c r="CZ374">
        <f>AE374</f>
        <v>729.98</v>
      </c>
      <c r="DA374">
        <f>AI374</f>
        <v>6.13</v>
      </c>
      <c r="DB374">
        <v>0</v>
      </c>
    </row>
    <row r="375" spans="1:106" x14ac:dyDescent="0.2">
      <c r="A375">
        <f>ROW(Source!A157)</f>
        <v>157</v>
      </c>
      <c r="B375">
        <v>39476960</v>
      </c>
      <c r="C375">
        <v>39478474</v>
      </c>
      <c r="D375">
        <v>36854874</v>
      </c>
      <c r="E375">
        <v>1</v>
      </c>
      <c r="F375">
        <v>1</v>
      </c>
      <c r="G375">
        <v>1</v>
      </c>
      <c r="H375">
        <v>3</v>
      </c>
      <c r="I375" t="s">
        <v>473</v>
      </c>
      <c r="J375" t="s">
        <v>475</v>
      </c>
      <c r="K375" t="s">
        <v>474</v>
      </c>
      <c r="L375">
        <v>1354</v>
      </c>
      <c r="N375">
        <v>1010</v>
      </c>
      <c r="O375" t="s">
        <v>415</v>
      </c>
      <c r="P375" t="s">
        <v>415</v>
      </c>
      <c r="Q375">
        <v>1</v>
      </c>
      <c r="W375">
        <v>0</v>
      </c>
      <c r="X375">
        <v>560156306</v>
      </c>
      <c r="Y375">
        <v>100</v>
      </c>
      <c r="AA375">
        <v>4700.97</v>
      </c>
      <c r="AB375">
        <v>0</v>
      </c>
      <c r="AC375">
        <v>0</v>
      </c>
      <c r="AD375">
        <v>0</v>
      </c>
      <c r="AE375">
        <v>766.88</v>
      </c>
      <c r="AF375">
        <v>0</v>
      </c>
      <c r="AG375">
        <v>0</v>
      </c>
      <c r="AH375">
        <v>0</v>
      </c>
      <c r="AI375">
        <v>6.13</v>
      </c>
      <c r="AJ375">
        <v>1</v>
      </c>
      <c r="AK375">
        <v>1</v>
      </c>
      <c r="AL375">
        <v>1</v>
      </c>
      <c r="AN375">
        <v>0</v>
      </c>
      <c r="AO375">
        <v>0</v>
      </c>
      <c r="AP375">
        <v>0</v>
      </c>
      <c r="AQ375">
        <v>0</v>
      </c>
      <c r="AR375">
        <v>0</v>
      </c>
      <c r="AS375" t="s">
        <v>3</v>
      </c>
      <c r="AT375">
        <v>100</v>
      </c>
      <c r="AU375" t="s">
        <v>3</v>
      </c>
      <c r="AV375">
        <v>0</v>
      </c>
      <c r="AW375">
        <v>1</v>
      </c>
      <c r="AX375">
        <v>-1</v>
      </c>
      <c r="AY375">
        <v>0</v>
      </c>
      <c r="AZ375">
        <v>0</v>
      </c>
      <c r="BA375" t="s">
        <v>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Y375*Source!I157</f>
        <v>24</v>
      </c>
      <c r="CY375">
        <f>AA375</f>
        <v>4700.97</v>
      </c>
      <c r="CZ375">
        <f>AE375</f>
        <v>766.88</v>
      </c>
      <c r="DA375">
        <f>AI375</f>
        <v>6.13</v>
      </c>
      <c r="DB375">
        <v>0</v>
      </c>
    </row>
    <row r="376" spans="1:106" x14ac:dyDescent="0.2">
      <c r="A376">
        <f>ROW(Source!A157)</f>
        <v>157</v>
      </c>
      <c r="B376">
        <v>39476960</v>
      </c>
      <c r="C376">
        <v>39478474</v>
      </c>
      <c r="D376">
        <v>36867794</v>
      </c>
      <c r="E376">
        <v>1</v>
      </c>
      <c r="F376">
        <v>1</v>
      </c>
      <c r="G376">
        <v>1</v>
      </c>
      <c r="H376">
        <v>3</v>
      </c>
      <c r="I376" t="s">
        <v>1169</v>
      </c>
      <c r="J376" t="s">
        <v>1170</v>
      </c>
      <c r="K376" t="s">
        <v>1171</v>
      </c>
      <c r="L376">
        <v>1346</v>
      </c>
      <c r="N376">
        <v>1009</v>
      </c>
      <c r="O376" t="s">
        <v>217</v>
      </c>
      <c r="P376" t="s">
        <v>217</v>
      </c>
      <c r="Q376">
        <v>1</v>
      </c>
      <c r="W376">
        <v>0</v>
      </c>
      <c r="X376">
        <v>1584075688</v>
      </c>
      <c r="Y376">
        <v>3.09</v>
      </c>
      <c r="AA376">
        <v>218.84</v>
      </c>
      <c r="AB376">
        <v>0</v>
      </c>
      <c r="AC376">
        <v>0</v>
      </c>
      <c r="AD376">
        <v>0</v>
      </c>
      <c r="AE376">
        <v>35.700000000000003</v>
      </c>
      <c r="AF376">
        <v>0</v>
      </c>
      <c r="AG376">
        <v>0</v>
      </c>
      <c r="AH376">
        <v>0</v>
      </c>
      <c r="AI376">
        <v>6.13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3.09</v>
      </c>
      <c r="AU376" t="s">
        <v>3</v>
      </c>
      <c r="AV376">
        <v>0</v>
      </c>
      <c r="AW376">
        <v>2</v>
      </c>
      <c r="AX376">
        <v>39478480</v>
      </c>
      <c r="AY376">
        <v>1</v>
      </c>
      <c r="AZ376">
        <v>0</v>
      </c>
      <c r="BA376">
        <v>348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Y376*Source!I157</f>
        <v>0.74159999999999993</v>
      </c>
      <c r="CY376">
        <f>AA376</f>
        <v>218.84</v>
      </c>
      <c r="CZ376">
        <f>AE376</f>
        <v>35.700000000000003</v>
      </c>
      <c r="DA376">
        <f>AI376</f>
        <v>6.13</v>
      </c>
      <c r="DB376">
        <v>0</v>
      </c>
    </row>
    <row r="377" spans="1:106" x14ac:dyDescent="0.2">
      <c r="A377">
        <f>ROW(Source!A157)</f>
        <v>157</v>
      </c>
      <c r="B377">
        <v>39476960</v>
      </c>
      <c r="C377">
        <v>39478474</v>
      </c>
      <c r="D377">
        <v>36799065</v>
      </c>
      <c r="E377">
        <v>17</v>
      </c>
      <c r="F377">
        <v>1</v>
      </c>
      <c r="G377">
        <v>1</v>
      </c>
      <c r="H377">
        <v>3</v>
      </c>
      <c r="I377" t="s">
        <v>1099</v>
      </c>
      <c r="J377" t="s">
        <v>3</v>
      </c>
      <c r="K377" t="s">
        <v>1100</v>
      </c>
      <c r="L377">
        <v>1374</v>
      </c>
      <c r="N377">
        <v>1013</v>
      </c>
      <c r="O377" t="s">
        <v>1101</v>
      </c>
      <c r="P377" t="s">
        <v>1101</v>
      </c>
      <c r="Q377">
        <v>1</v>
      </c>
      <c r="W377">
        <v>0</v>
      </c>
      <c r="X377">
        <v>-1731369543</v>
      </c>
      <c r="Y377">
        <v>29.36</v>
      </c>
      <c r="AA377">
        <v>1</v>
      </c>
      <c r="AB377">
        <v>0</v>
      </c>
      <c r="AC377">
        <v>0</v>
      </c>
      <c r="AD377">
        <v>0</v>
      </c>
      <c r="AE377">
        <v>1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29.36</v>
      </c>
      <c r="AU377" t="s">
        <v>3</v>
      </c>
      <c r="AV377">
        <v>0</v>
      </c>
      <c r="AW377">
        <v>2</v>
      </c>
      <c r="AX377">
        <v>39478481</v>
      </c>
      <c r="AY377">
        <v>1</v>
      </c>
      <c r="AZ377">
        <v>0</v>
      </c>
      <c r="BA377">
        <v>349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Y377*Source!I157</f>
        <v>7.0463999999999993</v>
      </c>
      <c r="CY377">
        <f>AA377</f>
        <v>1</v>
      </c>
      <c r="CZ377">
        <f>AE377</f>
        <v>1</v>
      </c>
      <c r="DA377">
        <f>AI377</f>
        <v>1</v>
      </c>
      <c r="DB377">
        <v>0</v>
      </c>
    </row>
    <row r="378" spans="1:106" x14ac:dyDescent="0.2">
      <c r="A378">
        <f>ROW(Source!A159)</f>
        <v>159</v>
      </c>
      <c r="B378">
        <v>39476960</v>
      </c>
      <c r="C378">
        <v>39478487</v>
      </c>
      <c r="D378">
        <v>37080781</v>
      </c>
      <c r="E378">
        <v>1</v>
      </c>
      <c r="F378">
        <v>1</v>
      </c>
      <c r="G378">
        <v>1</v>
      </c>
      <c r="H378">
        <v>1</v>
      </c>
      <c r="I378" t="s">
        <v>1129</v>
      </c>
      <c r="J378" t="s">
        <v>3</v>
      </c>
      <c r="K378" t="s">
        <v>1130</v>
      </c>
      <c r="L378">
        <v>1191</v>
      </c>
      <c r="N378">
        <v>1013</v>
      </c>
      <c r="O378" t="s">
        <v>796</v>
      </c>
      <c r="P378" t="s">
        <v>796</v>
      </c>
      <c r="Q378">
        <v>1</v>
      </c>
      <c r="W378">
        <v>0</v>
      </c>
      <c r="X378">
        <v>912892513</v>
      </c>
      <c r="Y378">
        <v>31.487999999999996</v>
      </c>
      <c r="AA378">
        <v>0</v>
      </c>
      <c r="AB378">
        <v>0</v>
      </c>
      <c r="AC378">
        <v>0</v>
      </c>
      <c r="AD378">
        <v>60.81</v>
      </c>
      <c r="AE378">
        <v>0</v>
      </c>
      <c r="AF378">
        <v>0</v>
      </c>
      <c r="AG378">
        <v>0</v>
      </c>
      <c r="AH378">
        <v>9.92</v>
      </c>
      <c r="AI378">
        <v>1</v>
      </c>
      <c r="AJ378">
        <v>1</v>
      </c>
      <c r="AK378">
        <v>1</v>
      </c>
      <c r="AL378">
        <v>6.13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3</v>
      </c>
      <c r="AT378">
        <v>26.24</v>
      </c>
      <c r="AU378" t="s">
        <v>371</v>
      </c>
      <c r="AV378">
        <v>1</v>
      </c>
      <c r="AW378">
        <v>2</v>
      </c>
      <c r="AX378">
        <v>39478488</v>
      </c>
      <c r="AY378">
        <v>1</v>
      </c>
      <c r="AZ378">
        <v>0</v>
      </c>
      <c r="BA378">
        <v>350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Y378*Source!I159</f>
        <v>1.25952</v>
      </c>
      <c r="CY378">
        <f>AD378</f>
        <v>60.81</v>
      </c>
      <c r="CZ378">
        <f>AH378</f>
        <v>9.92</v>
      </c>
      <c r="DA378">
        <f>AL378</f>
        <v>6.13</v>
      </c>
      <c r="DB378">
        <v>0</v>
      </c>
    </row>
    <row r="379" spans="1:106" x14ac:dyDescent="0.2">
      <c r="A379">
        <f>ROW(Source!A159)</f>
        <v>159</v>
      </c>
      <c r="B379">
        <v>39476960</v>
      </c>
      <c r="C379">
        <v>39478487</v>
      </c>
      <c r="D379">
        <v>37064876</v>
      </c>
      <c r="E379">
        <v>1</v>
      </c>
      <c r="F379">
        <v>1</v>
      </c>
      <c r="G379">
        <v>1</v>
      </c>
      <c r="H379">
        <v>1</v>
      </c>
      <c r="I379" t="s">
        <v>797</v>
      </c>
      <c r="J379" t="s">
        <v>3</v>
      </c>
      <c r="K379" t="s">
        <v>798</v>
      </c>
      <c r="L379">
        <v>1191</v>
      </c>
      <c r="N379">
        <v>1013</v>
      </c>
      <c r="O379" t="s">
        <v>796</v>
      </c>
      <c r="P379" t="s">
        <v>796</v>
      </c>
      <c r="Q379">
        <v>1</v>
      </c>
      <c r="W379">
        <v>0</v>
      </c>
      <c r="X379">
        <v>-1417349443</v>
      </c>
      <c r="Y379">
        <v>0.05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6.13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0.05</v>
      </c>
      <c r="AU379" t="s">
        <v>3</v>
      </c>
      <c r="AV379">
        <v>2</v>
      </c>
      <c r="AW379">
        <v>2</v>
      </c>
      <c r="AX379">
        <v>39478489</v>
      </c>
      <c r="AY379">
        <v>1</v>
      </c>
      <c r="AZ379">
        <v>2048</v>
      </c>
      <c r="BA379">
        <v>351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Y379*Source!I159</f>
        <v>2E-3</v>
      </c>
      <c r="CY379">
        <f>AD379</f>
        <v>0</v>
      </c>
      <c r="CZ379">
        <f>AH379</f>
        <v>0</v>
      </c>
      <c r="DA379">
        <f>AL379</f>
        <v>1</v>
      </c>
      <c r="DB379">
        <v>0</v>
      </c>
    </row>
    <row r="380" spans="1:106" x14ac:dyDescent="0.2">
      <c r="A380">
        <f>ROW(Source!A159)</f>
        <v>159</v>
      </c>
      <c r="B380">
        <v>39476960</v>
      </c>
      <c r="C380">
        <v>39478487</v>
      </c>
      <c r="D380">
        <v>36882159</v>
      </c>
      <c r="E380">
        <v>1</v>
      </c>
      <c r="F380">
        <v>1</v>
      </c>
      <c r="G380">
        <v>1</v>
      </c>
      <c r="H380">
        <v>2</v>
      </c>
      <c r="I380" t="s">
        <v>825</v>
      </c>
      <c r="J380" t="s">
        <v>826</v>
      </c>
      <c r="K380" t="s">
        <v>827</v>
      </c>
      <c r="L380">
        <v>1368</v>
      </c>
      <c r="N380">
        <v>1011</v>
      </c>
      <c r="O380" t="s">
        <v>802</v>
      </c>
      <c r="P380" t="s">
        <v>802</v>
      </c>
      <c r="Q380">
        <v>1</v>
      </c>
      <c r="W380">
        <v>0</v>
      </c>
      <c r="X380">
        <v>-1718674368</v>
      </c>
      <c r="Y380">
        <v>3.5999999999999997E-2</v>
      </c>
      <c r="AA380">
        <v>0</v>
      </c>
      <c r="AB380">
        <v>686.5</v>
      </c>
      <c r="AC380">
        <v>13.5</v>
      </c>
      <c r="AD380">
        <v>0</v>
      </c>
      <c r="AE380">
        <v>0</v>
      </c>
      <c r="AF380">
        <v>111.99</v>
      </c>
      <c r="AG380">
        <v>13.5</v>
      </c>
      <c r="AH380">
        <v>0</v>
      </c>
      <c r="AI380">
        <v>1</v>
      </c>
      <c r="AJ380">
        <v>6.13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0.03</v>
      </c>
      <c r="AU380" t="s">
        <v>371</v>
      </c>
      <c r="AV380">
        <v>0</v>
      </c>
      <c r="AW380">
        <v>2</v>
      </c>
      <c r="AX380">
        <v>39478490</v>
      </c>
      <c r="AY380">
        <v>1</v>
      </c>
      <c r="AZ380">
        <v>0</v>
      </c>
      <c r="BA380">
        <v>352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Y380*Source!I159</f>
        <v>1.4399999999999999E-3</v>
      </c>
      <c r="CY380">
        <f>AB380</f>
        <v>686.5</v>
      </c>
      <c r="CZ380">
        <f>AF380</f>
        <v>111.99</v>
      </c>
      <c r="DA380">
        <f>AJ380</f>
        <v>6.13</v>
      </c>
      <c r="DB380">
        <v>0</v>
      </c>
    </row>
    <row r="381" spans="1:106" x14ac:dyDescent="0.2">
      <c r="A381">
        <f>ROW(Source!A159)</f>
        <v>159</v>
      </c>
      <c r="B381">
        <v>39476960</v>
      </c>
      <c r="C381">
        <v>39478487</v>
      </c>
      <c r="D381">
        <v>36883554</v>
      </c>
      <c r="E381">
        <v>1</v>
      </c>
      <c r="F381">
        <v>1</v>
      </c>
      <c r="G381">
        <v>1</v>
      </c>
      <c r="H381">
        <v>2</v>
      </c>
      <c r="I381" t="s">
        <v>834</v>
      </c>
      <c r="J381" t="s">
        <v>835</v>
      </c>
      <c r="K381" t="s">
        <v>836</v>
      </c>
      <c r="L381">
        <v>1368</v>
      </c>
      <c r="N381">
        <v>1011</v>
      </c>
      <c r="O381" t="s">
        <v>802</v>
      </c>
      <c r="P381" t="s">
        <v>802</v>
      </c>
      <c r="Q381">
        <v>1</v>
      </c>
      <c r="W381">
        <v>0</v>
      </c>
      <c r="X381">
        <v>1372534845</v>
      </c>
      <c r="Y381">
        <v>2.4E-2</v>
      </c>
      <c r="AA381">
        <v>0</v>
      </c>
      <c r="AB381">
        <v>402.8</v>
      </c>
      <c r="AC381">
        <v>11.6</v>
      </c>
      <c r="AD381">
        <v>0</v>
      </c>
      <c r="AE381">
        <v>0</v>
      </c>
      <c r="AF381">
        <v>65.709999999999994</v>
      </c>
      <c r="AG381">
        <v>11.6</v>
      </c>
      <c r="AH381">
        <v>0</v>
      </c>
      <c r="AI381">
        <v>1</v>
      </c>
      <c r="AJ381">
        <v>6.13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0.02</v>
      </c>
      <c r="AU381" t="s">
        <v>371</v>
      </c>
      <c r="AV381">
        <v>0</v>
      </c>
      <c r="AW381">
        <v>2</v>
      </c>
      <c r="AX381">
        <v>39478491</v>
      </c>
      <c r="AY381">
        <v>1</v>
      </c>
      <c r="AZ381">
        <v>0</v>
      </c>
      <c r="BA381">
        <v>353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Y381*Source!I159</f>
        <v>9.6000000000000002E-4</v>
      </c>
      <c r="CY381">
        <f>AB381</f>
        <v>402.8</v>
      </c>
      <c r="CZ381">
        <f>AF381</f>
        <v>65.709999999999994</v>
      </c>
      <c r="DA381">
        <f>AJ381</f>
        <v>6.13</v>
      </c>
      <c r="DB381">
        <v>0</v>
      </c>
    </row>
    <row r="382" spans="1:106" x14ac:dyDescent="0.2">
      <c r="A382">
        <f>ROW(Source!A159)</f>
        <v>159</v>
      </c>
      <c r="B382">
        <v>39476960</v>
      </c>
      <c r="C382">
        <v>39478487</v>
      </c>
      <c r="D382">
        <v>36806488</v>
      </c>
      <c r="E382">
        <v>1</v>
      </c>
      <c r="F382">
        <v>1</v>
      </c>
      <c r="G382">
        <v>1</v>
      </c>
      <c r="H382">
        <v>3</v>
      </c>
      <c r="I382" t="s">
        <v>931</v>
      </c>
      <c r="J382" t="s">
        <v>932</v>
      </c>
      <c r="K382" t="s">
        <v>933</v>
      </c>
      <c r="L382">
        <v>1348</v>
      </c>
      <c r="N382">
        <v>1009</v>
      </c>
      <c r="O382" t="s">
        <v>34</v>
      </c>
      <c r="P382" t="s">
        <v>34</v>
      </c>
      <c r="Q382">
        <v>1000</v>
      </c>
      <c r="W382">
        <v>0</v>
      </c>
      <c r="X382">
        <v>-1421715385</v>
      </c>
      <c r="Y382">
        <v>3.15E-3</v>
      </c>
      <c r="AA382">
        <v>4474.78</v>
      </c>
      <c r="AB382">
        <v>0</v>
      </c>
      <c r="AC382">
        <v>0</v>
      </c>
      <c r="AD382">
        <v>0</v>
      </c>
      <c r="AE382">
        <v>729.98</v>
      </c>
      <c r="AF382">
        <v>0</v>
      </c>
      <c r="AG382">
        <v>0</v>
      </c>
      <c r="AH382">
        <v>0</v>
      </c>
      <c r="AI382">
        <v>6.13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3.15E-3</v>
      </c>
      <c r="AU382" t="s">
        <v>3</v>
      </c>
      <c r="AV382">
        <v>0</v>
      </c>
      <c r="AW382">
        <v>2</v>
      </c>
      <c r="AX382">
        <v>39478492</v>
      </c>
      <c r="AY382">
        <v>1</v>
      </c>
      <c r="AZ382">
        <v>0</v>
      </c>
      <c r="BA382">
        <v>354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Y382*Source!I159</f>
        <v>1.26E-4</v>
      </c>
      <c r="CY382">
        <f>AA382</f>
        <v>4474.78</v>
      </c>
      <c r="CZ382">
        <f>AE382</f>
        <v>729.98</v>
      </c>
      <c r="DA382">
        <f>AI382</f>
        <v>6.13</v>
      </c>
      <c r="DB382">
        <v>0</v>
      </c>
    </row>
    <row r="383" spans="1:106" x14ac:dyDescent="0.2">
      <c r="A383">
        <f>ROW(Source!A159)</f>
        <v>159</v>
      </c>
      <c r="B383">
        <v>39476960</v>
      </c>
      <c r="C383">
        <v>39478487</v>
      </c>
      <c r="D383">
        <v>36852067</v>
      </c>
      <c r="E383">
        <v>1</v>
      </c>
      <c r="F383">
        <v>1</v>
      </c>
      <c r="G383">
        <v>1</v>
      </c>
      <c r="H383">
        <v>3</v>
      </c>
      <c r="I383" t="s">
        <v>1172</v>
      </c>
      <c r="J383" t="s">
        <v>1173</v>
      </c>
      <c r="K383" t="s">
        <v>1174</v>
      </c>
      <c r="L383">
        <v>1356</v>
      </c>
      <c r="N383">
        <v>1010</v>
      </c>
      <c r="O383" t="s">
        <v>259</v>
      </c>
      <c r="P383" t="s">
        <v>259</v>
      </c>
      <c r="Q383">
        <v>1000</v>
      </c>
      <c r="W383">
        <v>0</v>
      </c>
      <c r="X383">
        <v>40709342</v>
      </c>
      <c r="Y383">
        <v>0.10199999999999999</v>
      </c>
      <c r="AA383">
        <v>1655.1</v>
      </c>
      <c r="AB383">
        <v>0</v>
      </c>
      <c r="AC383">
        <v>0</v>
      </c>
      <c r="AD383">
        <v>0</v>
      </c>
      <c r="AE383">
        <v>270</v>
      </c>
      <c r="AF383">
        <v>0</v>
      </c>
      <c r="AG383">
        <v>0</v>
      </c>
      <c r="AH383">
        <v>0</v>
      </c>
      <c r="AI383">
        <v>6.13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0.10199999999999999</v>
      </c>
      <c r="AU383" t="s">
        <v>3</v>
      </c>
      <c r="AV383">
        <v>0</v>
      </c>
      <c r="AW383">
        <v>2</v>
      </c>
      <c r="AX383">
        <v>39478493</v>
      </c>
      <c r="AY383">
        <v>1</v>
      </c>
      <c r="AZ383">
        <v>0</v>
      </c>
      <c r="BA383">
        <v>355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Y383*Source!I159</f>
        <v>4.0799999999999994E-3</v>
      </c>
      <c r="CY383">
        <f>AA383</f>
        <v>1655.1</v>
      </c>
      <c r="CZ383">
        <f>AE383</f>
        <v>270</v>
      </c>
      <c r="DA383">
        <f>AI383</f>
        <v>6.13</v>
      </c>
      <c r="DB383">
        <v>0</v>
      </c>
    </row>
    <row r="384" spans="1:106" x14ac:dyDescent="0.2">
      <c r="A384">
        <f>ROW(Source!A159)</f>
        <v>159</v>
      </c>
      <c r="B384">
        <v>39476960</v>
      </c>
      <c r="C384">
        <v>39478487</v>
      </c>
      <c r="D384">
        <v>36855067</v>
      </c>
      <c r="E384">
        <v>1</v>
      </c>
      <c r="F384">
        <v>1</v>
      </c>
      <c r="G384">
        <v>1</v>
      </c>
      <c r="H384">
        <v>3</v>
      </c>
      <c r="I384" t="s">
        <v>481</v>
      </c>
      <c r="J384" t="s">
        <v>483</v>
      </c>
      <c r="K384" t="s">
        <v>482</v>
      </c>
      <c r="L384">
        <v>1358</v>
      </c>
      <c r="N384">
        <v>1010</v>
      </c>
      <c r="O384" t="s">
        <v>160</v>
      </c>
      <c r="P384" t="s">
        <v>160</v>
      </c>
      <c r="Q384">
        <v>10</v>
      </c>
      <c r="W384">
        <v>0</v>
      </c>
      <c r="X384">
        <v>-4905491</v>
      </c>
      <c r="Y384">
        <v>10</v>
      </c>
      <c r="AA384">
        <v>534.54</v>
      </c>
      <c r="AB384">
        <v>0</v>
      </c>
      <c r="AC384">
        <v>0</v>
      </c>
      <c r="AD384">
        <v>0</v>
      </c>
      <c r="AE384">
        <v>87.2</v>
      </c>
      <c r="AF384">
        <v>0</v>
      </c>
      <c r="AG384">
        <v>0</v>
      </c>
      <c r="AH384">
        <v>0</v>
      </c>
      <c r="AI384">
        <v>6.13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3</v>
      </c>
      <c r="AT384">
        <v>10</v>
      </c>
      <c r="AU384" t="s">
        <v>3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3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Y384*Source!I159</f>
        <v>0.4</v>
      </c>
      <c r="CY384">
        <f>AA384</f>
        <v>534.54</v>
      </c>
      <c r="CZ384">
        <f>AE384</f>
        <v>87.2</v>
      </c>
      <c r="DA384">
        <f>AI384</f>
        <v>6.13</v>
      </c>
      <c r="DB384">
        <v>0</v>
      </c>
    </row>
    <row r="385" spans="1:106" x14ac:dyDescent="0.2">
      <c r="A385">
        <f>ROW(Source!A159)</f>
        <v>159</v>
      </c>
      <c r="B385">
        <v>39476960</v>
      </c>
      <c r="C385">
        <v>39478487</v>
      </c>
      <c r="D385">
        <v>36799065</v>
      </c>
      <c r="E385">
        <v>17</v>
      </c>
      <c r="F385">
        <v>1</v>
      </c>
      <c r="G385">
        <v>1</v>
      </c>
      <c r="H385">
        <v>3</v>
      </c>
      <c r="I385" t="s">
        <v>1099</v>
      </c>
      <c r="J385" t="s">
        <v>3</v>
      </c>
      <c r="K385" t="s">
        <v>1100</v>
      </c>
      <c r="L385">
        <v>1374</v>
      </c>
      <c r="N385">
        <v>1013</v>
      </c>
      <c r="O385" t="s">
        <v>1101</v>
      </c>
      <c r="P385" t="s">
        <v>1101</v>
      </c>
      <c r="Q385">
        <v>1</v>
      </c>
      <c r="W385">
        <v>0</v>
      </c>
      <c r="X385">
        <v>-1731369543</v>
      </c>
      <c r="Y385">
        <v>5.21</v>
      </c>
      <c r="AA385">
        <v>1</v>
      </c>
      <c r="AB385">
        <v>0</v>
      </c>
      <c r="AC385">
        <v>0</v>
      </c>
      <c r="AD385">
        <v>0</v>
      </c>
      <c r="AE385">
        <v>1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5.21</v>
      </c>
      <c r="AU385" t="s">
        <v>3</v>
      </c>
      <c r="AV385">
        <v>0</v>
      </c>
      <c r="AW385">
        <v>2</v>
      </c>
      <c r="AX385">
        <v>39478494</v>
      </c>
      <c r="AY385">
        <v>1</v>
      </c>
      <c r="AZ385">
        <v>0</v>
      </c>
      <c r="BA385">
        <v>356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Y385*Source!I159</f>
        <v>0.2084</v>
      </c>
      <c r="CY385">
        <f>AA385</f>
        <v>1</v>
      </c>
      <c r="CZ385">
        <f>AE385</f>
        <v>1</v>
      </c>
      <c r="DA385">
        <f>AI385</f>
        <v>1</v>
      </c>
      <c r="DB385">
        <v>0</v>
      </c>
    </row>
    <row r="386" spans="1:106" x14ac:dyDescent="0.2">
      <c r="A386">
        <f>ROW(Source!A195)</f>
        <v>195</v>
      </c>
      <c r="B386">
        <v>39476960</v>
      </c>
      <c r="C386">
        <v>39478498</v>
      </c>
      <c r="D386">
        <v>37519679</v>
      </c>
      <c r="E386">
        <v>1</v>
      </c>
      <c r="F386">
        <v>1</v>
      </c>
      <c r="G386">
        <v>1</v>
      </c>
      <c r="H386">
        <v>1</v>
      </c>
      <c r="I386" t="s">
        <v>1175</v>
      </c>
      <c r="J386" t="s">
        <v>3</v>
      </c>
      <c r="K386" t="s">
        <v>1176</v>
      </c>
      <c r="L386">
        <v>1191</v>
      </c>
      <c r="N386">
        <v>1013</v>
      </c>
      <c r="O386" t="s">
        <v>796</v>
      </c>
      <c r="P386" t="s">
        <v>796</v>
      </c>
      <c r="Q386">
        <v>1</v>
      </c>
      <c r="W386">
        <v>0</v>
      </c>
      <c r="X386">
        <v>-1166887252</v>
      </c>
      <c r="Y386">
        <v>0.128</v>
      </c>
      <c r="AA386">
        <v>0</v>
      </c>
      <c r="AB386">
        <v>0</v>
      </c>
      <c r="AC386">
        <v>0</v>
      </c>
      <c r="AD386">
        <v>79.2</v>
      </c>
      <c r="AE386">
        <v>0</v>
      </c>
      <c r="AF386">
        <v>0</v>
      </c>
      <c r="AG386">
        <v>0</v>
      </c>
      <c r="AH386">
        <v>12.92</v>
      </c>
      <c r="AI386">
        <v>1</v>
      </c>
      <c r="AJ386">
        <v>1</v>
      </c>
      <c r="AK386">
        <v>1</v>
      </c>
      <c r="AL386">
        <v>6.13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3</v>
      </c>
      <c r="AT386">
        <v>0.16</v>
      </c>
      <c r="AU386" t="s">
        <v>490</v>
      </c>
      <c r="AV386">
        <v>1</v>
      </c>
      <c r="AW386">
        <v>2</v>
      </c>
      <c r="AX386">
        <v>39478499</v>
      </c>
      <c r="AY386">
        <v>1</v>
      </c>
      <c r="AZ386">
        <v>0</v>
      </c>
      <c r="BA386">
        <v>357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Y386*Source!I195</f>
        <v>2.56</v>
      </c>
      <c r="CY386">
        <f t="shared" ref="CY386:CY393" si="51">AD386</f>
        <v>79.2</v>
      </c>
      <c r="CZ386">
        <f t="shared" ref="CZ386:CZ393" si="52">AH386</f>
        <v>12.92</v>
      </c>
      <c r="DA386">
        <f t="shared" ref="DA386:DA393" si="53">AL386</f>
        <v>6.13</v>
      </c>
      <c r="DB386">
        <v>0</v>
      </c>
    </row>
    <row r="387" spans="1:106" x14ac:dyDescent="0.2">
      <c r="A387">
        <f>ROW(Source!A195)</f>
        <v>195</v>
      </c>
      <c r="B387">
        <v>39476960</v>
      </c>
      <c r="C387">
        <v>39478498</v>
      </c>
      <c r="D387">
        <v>37518716</v>
      </c>
      <c r="E387">
        <v>1</v>
      </c>
      <c r="F387">
        <v>1</v>
      </c>
      <c r="G387">
        <v>1</v>
      </c>
      <c r="H387">
        <v>1</v>
      </c>
      <c r="I387" t="s">
        <v>1177</v>
      </c>
      <c r="J387" t="s">
        <v>3</v>
      </c>
      <c r="K387" t="s">
        <v>1178</v>
      </c>
      <c r="L387">
        <v>1191</v>
      </c>
      <c r="N387">
        <v>1013</v>
      </c>
      <c r="O387" t="s">
        <v>796</v>
      </c>
      <c r="P387" t="s">
        <v>796</v>
      </c>
      <c r="Q387">
        <v>1</v>
      </c>
      <c r="W387">
        <v>0</v>
      </c>
      <c r="X387">
        <v>1776637054</v>
      </c>
      <c r="Y387">
        <v>0.128</v>
      </c>
      <c r="AA387">
        <v>0</v>
      </c>
      <c r="AB387">
        <v>0</v>
      </c>
      <c r="AC387">
        <v>0</v>
      </c>
      <c r="AD387">
        <v>77.790000000000006</v>
      </c>
      <c r="AE387">
        <v>0</v>
      </c>
      <c r="AF387">
        <v>0</v>
      </c>
      <c r="AG387">
        <v>0</v>
      </c>
      <c r="AH387">
        <v>12.69</v>
      </c>
      <c r="AI387">
        <v>1</v>
      </c>
      <c r="AJ387">
        <v>1</v>
      </c>
      <c r="AK387">
        <v>1</v>
      </c>
      <c r="AL387">
        <v>6.13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0.16</v>
      </c>
      <c r="AU387" t="s">
        <v>490</v>
      </c>
      <c r="AV387">
        <v>1</v>
      </c>
      <c r="AW387">
        <v>2</v>
      </c>
      <c r="AX387">
        <v>39478500</v>
      </c>
      <c r="AY387">
        <v>1</v>
      </c>
      <c r="AZ387">
        <v>0</v>
      </c>
      <c r="BA387">
        <v>358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Y387*Source!I195</f>
        <v>2.56</v>
      </c>
      <c r="CY387">
        <f t="shared" si="51"/>
        <v>77.790000000000006</v>
      </c>
      <c r="CZ387">
        <f t="shared" si="52"/>
        <v>12.69</v>
      </c>
      <c r="DA387">
        <f t="shared" si="53"/>
        <v>6.13</v>
      </c>
      <c r="DB387">
        <v>0</v>
      </c>
    </row>
    <row r="388" spans="1:106" x14ac:dyDescent="0.2">
      <c r="A388">
        <f>ROW(Source!A196)</f>
        <v>196</v>
      </c>
      <c r="B388">
        <v>39476960</v>
      </c>
      <c r="C388">
        <v>39478501</v>
      </c>
      <c r="D388">
        <v>37519679</v>
      </c>
      <c r="E388">
        <v>1</v>
      </c>
      <c r="F388">
        <v>1</v>
      </c>
      <c r="G388">
        <v>1</v>
      </c>
      <c r="H388">
        <v>1</v>
      </c>
      <c r="I388" t="s">
        <v>1175</v>
      </c>
      <c r="J388" t="s">
        <v>3</v>
      </c>
      <c r="K388" t="s">
        <v>1176</v>
      </c>
      <c r="L388">
        <v>1191</v>
      </c>
      <c r="N388">
        <v>1013</v>
      </c>
      <c r="O388" t="s">
        <v>796</v>
      </c>
      <c r="P388" t="s">
        <v>796</v>
      </c>
      <c r="Q388">
        <v>1</v>
      </c>
      <c r="W388">
        <v>0</v>
      </c>
      <c r="X388">
        <v>-1166887252</v>
      </c>
      <c r="Y388">
        <v>5.1840000000000011</v>
      </c>
      <c r="AA388">
        <v>0</v>
      </c>
      <c r="AB388">
        <v>0</v>
      </c>
      <c r="AC388">
        <v>0</v>
      </c>
      <c r="AD388">
        <v>79.2</v>
      </c>
      <c r="AE388">
        <v>0</v>
      </c>
      <c r="AF388">
        <v>0</v>
      </c>
      <c r="AG388">
        <v>0</v>
      </c>
      <c r="AH388">
        <v>12.92</v>
      </c>
      <c r="AI388">
        <v>1</v>
      </c>
      <c r="AJ388">
        <v>1</v>
      </c>
      <c r="AK388">
        <v>1</v>
      </c>
      <c r="AL388">
        <v>6.13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3</v>
      </c>
      <c r="AT388">
        <v>6.48</v>
      </c>
      <c r="AU388" t="s">
        <v>490</v>
      </c>
      <c r="AV388">
        <v>1</v>
      </c>
      <c r="AW388">
        <v>2</v>
      </c>
      <c r="AX388">
        <v>39478502</v>
      </c>
      <c r="AY388">
        <v>1</v>
      </c>
      <c r="AZ388">
        <v>0</v>
      </c>
      <c r="BA388">
        <v>359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Y388*Source!I196</f>
        <v>0.62208000000000008</v>
      </c>
      <c r="CY388">
        <f t="shared" si="51"/>
        <v>79.2</v>
      </c>
      <c r="CZ388">
        <f t="shared" si="52"/>
        <v>12.92</v>
      </c>
      <c r="DA388">
        <f t="shared" si="53"/>
        <v>6.13</v>
      </c>
      <c r="DB388">
        <v>0</v>
      </c>
    </row>
    <row r="389" spans="1:106" x14ac:dyDescent="0.2">
      <c r="A389">
        <f>ROW(Source!A196)</f>
        <v>196</v>
      </c>
      <c r="B389">
        <v>39476960</v>
      </c>
      <c r="C389">
        <v>39478501</v>
      </c>
      <c r="D389">
        <v>37518716</v>
      </c>
      <c r="E389">
        <v>1</v>
      </c>
      <c r="F389">
        <v>1</v>
      </c>
      <c r="G389">
        <v>1</v>
      </c>
      <c r="H389">
        <v>1</v>
      </c>
      <c r="I389" t="s">
        <v>1177</v>
      </c>
      <c r="J389" t="s">
        <v>3</v>
      </c>
      <c r="K389" t="s">
        <v>1178</v>
      </c>
      <c r="L389">
        <v>1191</v>
      </c>
      <c r="N389">
        <v>1013</v>
      </c>
      <c r="O389" t="s">
        <v>796</v>
      </c>
      <c r="P389" t="s">
        <v>796</v>
      </c>
      <c r="Q389">
        <v>1</v>
      </c>
      <c r="W389">
        <v>0</v>
      </c>
      <c r="X389">
        <v>1776637054</v>
      </c>
      <c r="Y389">
        <v>5.1840000000000011</v>
      </c>
      <c r="AA389">
        <v>0</v>
      </c>
      <c r="AB389">
        <v>0</v>
      </c>
      <c r="AC389">
        <v>0</v>
      </c>
      <c r="AD389">
        <v>77.790000000000006</v>
      </c>
      <c r="AE389">
        <v>0</v>
      </c>
      <c r="AF389">
        <v>0</v>
      </c>
      <c r="AG389">
        <v>0</v>
      </c>
      <c r="AH389">
        <v>12.69</v>
      </c>
      <c r="AI389">
        <v>1</v>
      </c>
      <c r="AJ389">
        <v>1</v>
      </c>
      <c r="AK389">
        <v>1</v>
      </c>
      <c r="AL389">
        <v>6.13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6.48</v>
      </c>
      <c r="AU389" t="s">
        <v>490</v>
      </c>
      <c r="AV389">
        <v>1</v>
      </c>
      <c r="AW389">
        <v>2</v>
      </c>
      <c r="AX389">
        <v>39478503</v>
      </c>
      <c r="AY389">
        <v>1</v>
      </c>
      <c r="AZ389">
        <v>0</v>
      </c>
      <c r="BA389">
        <v>360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Y389*Source!I196</f>
        <v>0.62208000000000008</v>
      </c>
      <c r="CY389">
        <f t="shared" si="51"/>
        <v>77.790000000000006</v>
      </c>
      <c r="CZ389">
        <f t="shared" si="52"/>
        <v>12.69</v>
      </c>
      <c r="DA389">
        <f t="shared" si="53"/>
        <v>6.13</v>
      </c>
      <c r="DB389">
        <v>0</v>
      </c>
    </row>
    <row r="390" spans="1:106" x14ac:dyDescent="0.2">
      <c r="A390">
        <f>ROW(Source!A197)</f>
        <v>197</v>
      </c>
      <c r="B390">
        <v>39476960</v>
      </c>
      <c r="C390">
        <v>39478504</v>
      </c>
      <c r="D390">
        <v>37519679</v>
      </c>
      <c r="E390">
        <v>1</v>
      </c>
      <c r="F390">
        <v>1</v>
      </c>
      <c r="G390">
        <v>1</v>
      </c>
      <c r="H390">
        <v>1</v>
      </c>
      <c r="I390" t="s">
        <v>1175</v>
      </c>
      <c r="J390" t="s">
        <v>3</v>
      </c>
      <c r="K390" t="s">
        <v>1176</v>
      </c>
      <c r="L390">
        <v>1191</v>
      </c>
      <c r="N390">
        <v>1013</v>
      </c>
      <c r="O390" t="s">
        <v>796</v>
      </c>
      <c r="P390" t="s">
        <v>796</v>
      </c>
      <c r="Q390">
        <v>1</v>
      </c>
      <c r="W390">
        <v>0</v>
      </c>
      <c r="X390">
        <v>-1166887252</v>
      </c>
      <c r="Y390">
        <v>0.48799999999999999</v>
      </c>
      <c r="AA390">
        <v>0</v>
      </c>
      <c r="AB390">
        <v>0</v>
      </c>
      <c r="AC390">
        <v>0</v>
      </c>
      <c r="AD390">
        <v>79.2</v>
      </c>
      <c r="AE390">
        <v>0</v>
      </c>
      <c r="AF390">
        <v>0</v>
      </c>
      <c r="AG390">
        <v>0</v>
      </c>
      <c r="AH390">
        <v>12.92</v>
      </c>
      <c r="AI390">
        <v>1</v>
      </c>
      <c r="AJ390">
        <v>1</v>
      </c>
      <c r="AK390">
        <v>1</v>
      </c>
      <c r="AL390">
        <v>6.13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0.61</v>
      </c>
      <c r="AU390" t="s">
        <v>490</v>
      </c>
      <c r="AV390">
        <v>1</v>
      </c>
      <c r="AW390">
        <v>2</v>
      </c>
      <c r="AX390">
        <v>39478505</v>
      </c>
      <c r="AY390">
        <v>1</v>
      </c>
      <c r="AZ390">
        <v>0</v>
      </c>
      <c r="BA390">
        <v>361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Y390*Source!I197</f>
        <v>1.952</v>
      </c>
      <c r="CY390">
        <f t="shared" si="51"/>
        <v>79.2</v>
      </c>
      <c r="CZ390">
        <f t="shared" si="52"/>
        <v>12.92</v>
      </c>
      <c r="DA390">
        <f t="shared" si="53"/>
        <v>6.13</v>
      </c>
      <c r="DB390">
        <v>0</v>
      </c>
    </row>
    <row r="391" spans="1:106" x14ac:dyDescent="0.2">
      <c r="A391">
        <f>ROW(Source!A197)</f>
        <v>197</v>
      </c>
      <c r="B391">
        <v>39476960</v>
      </c>
      <c r="C391">
        <v>39478504</v>
      </c>
      <c r="D391">
        <v>37518716</v>
      </c>
      <c r="E391">
        <v>1</v>
      </c>
      <c r="F391">
        <v>1</v>
      </c>
      <c r="G391">
        <v>1</v>
      </c>
      <c r="H391">
        <v>1</v>
      </c>
      <c r="I391" t="s">
        <v>1177</v>
      </c>
      <c r="J391" t="s">
        <v>3</v>
      </c>
      <c r="K391" t="s">
        <v>1178</v>
      </c>
      <c r="L391">
        <v>1191</v>
      </c>
      <c r="N391">
        <v>1013</v>
      </c>
      <c r="O391" t="s">
        <v>796</v>
      </c>
      <c r="P391" t="s">
        <v>796</v>
      </c>
      <c r="Q391">
        <v>1</v>
      </c>
      <c r="W391">
        <v>0</v>
      </c>
      <c r="X391">
        <v>1776637054</v>
      </c>
      <c r="Y391">
        <v>0.48799999999999999</v>
      </c>
      <c r="AA391">
        <v>0</v>
      </c>
      <c r="AB391">
        <v>0</v>
      </c>
      <c r="AC391">
        <v>0</v>
      </c>
      <c r="AD391">
        <v>77.790000000000006</v>
      </c>
      <c r="AE391">
        <v>0</v>
      </c>
      <c r="AF391">
        <v>0</v>
      </c>
      <c r="AG391">
        <v>0</v>
      </c>
      <c r="AH391">
        <v>12.69</v>
      </c>
      <c r="AI391">
        <v>1</v>
      </c>
      <c r="AJ391">
        <v>1</v>
      </c>
      <c r="AK391">
        <v>1</v>
      </c>
      <c r="AL391">
        <v>6.13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3</v>
      </c>
      <c r="AT391">
        <v>0.61</v>
      </c>
      <c r="AU391" t="s">
        <v>490</v>
      </c>
      <c r="AV391">
        <v>1</v>
      </c>
      <c r="AW391">
        <v>2</v>
      </c>
      <c r="AX391">
        <v>39478506</v>
      </c>
      <c r="AY391">
        <v>1</v>
      </c>
      <c r="AZ391">
        <v>0</v>
      </c>
      <c r="BA391">
        <v>362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Y391*Source!I197</f>
        <v>1.952</v>
      </c>
      <c r="CY391">
        <f t="shared" si="51"/>
        <v>77.790000000000006</v>
      </c>
      <c r="CZ391">
        <f t="shared" si="52"/>
        <v>12.69</v>
      </c>
      <c r="DA391">
        <f t="shared" si="53"/>
        <v>6.13</v>
      </c>
      <c r="DB391">
        <v>0</v>
      </c>
    </row>
    <row r="392" spans="1:106" x14ac:dyDescent="0.2">
      <c r="A392">
        <f>ROW(Source!A232)</f>
        <v>232</v>
      </c>
      <c r="B392">
        <v>39476960</v>
      </c>
      <c r="C392">
        <v>39478507</v>
      </c>
      <c r="D392">
        <v>37065248</v>
      </c>
      <c r="E392">
        <v>1</v>
      </c>
      <c r="F392">
        <v>1</v>
      </c>
      <c r="G392">
        <v>1</v>
      </c>
      <c r="H392">
        <v>1</v>
      </c>
      <c r="I392" t="s">
        <v>895</v>
      </c>
      <c r="J392" t="s">
        <v>3</v>
      </c>
      <c r="K392" t="s">
        <v>896</v>
      </c>
      <c r="L392">
        <v>1191</v>
      </c>
      <c r="N392">
        <v>1013</v>
      </c>
      <c r="O392" t="s">
        <v>796</v>
      </c>
      <c r="P392" t="s">
        <v>796</v>
      </c>
      <c r="Q392">
        <v>1</v>
      </c>
      <c r="W392">
        <v>0</v>
      </c>
      <c r="X392">
        <v>-400197608</v>
      </c>
      <c r="Y392">
        <v>36.71</v>
      </c>
      <c r="AA392">
        <v>0</v>
      </c>
      <c r="AB392">
        <v>0</v>
      </c>
      <c r="AC392">
        <v>0</v>
      </c>
      <c r="AD392">
        <v>52.29</v>
      </c>
      <c r="AE392">
        <v>0</v>
      </c>
      <c r="AF392">
        <v>0</v>
      </c>
      <c r="AG392">
        <v>0</v>
      </c>
      <c r="AH392">
        <v>8.5299999999999994</v>
      </c>
      <c r="AI392">
        <v>1</v>
      </c>
      <c r="AJ392">
        <v>1</v>
      </c>
      <c r="AK392">
        <v>1</v>
      </c>
      <c r="AL392">
        <v>6.13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36.71</v>
      </c>
      <c r="AU392" t="s">
        <v>3</v>
      </c>
      <c r="AV392">
        <v>1</v>
      </c>
      <c r="AW392">
        <v>2</v>
      </c>
      <c r="AX392">
        <v>39478508</v>
      </c>
      <c r="AY392">
        <v>1</v>
      </c>
      <c r="AZ392">
        <v>0</v>
      </c>
      <c r="BA392">
        <v>363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Y392*Source!I232</f>
        <v>0.36710000000000004</v>
      </c>
      <c r="CY392">
        <f t="shared" si="51"/>
        <v>52.29</v>
      </c>
      <c r="CZ392">
        <f t="shared" si="52"/>
        <v>8.5299999999999994</v>
      </c>
      <c r="DA392">
        <f t="shared" si="53"/>
        <v>6.13</v>
      </c>
      <c r="DB392">
        <v>0</v>
      </c>
    </row>
    <row r="393" spans="1:106" x14ac:dyDescent="0.2">
      <c r="A393">
        <f>ROW(Source!A232)</f>
        <v>232</v>
      </c>
      <c r="B393">
        <v>39476960</v>
      </c>
      <c r="C393">
        <v>39478507</v>
      </c>
      <c r="D393">
        <v>37064876</v>
      </c>
      <c r="E393">
        <v>1</v>
      </c>
      <c r="F393">
        <v>1</v>
      </c>
      <c r="G393">
        <v>1</v>
      </c>
      <c r="H393">
        <v>1</v>
      </c>
      <c r="I393" t="s">
        <v>797</v>
      </c>
      <c r="J393" t="s">
        <v>3</v>
      </c>
      <c r="K393" t="s">
        <v>798</v>
      </c>
      <c r="L393">
        <v>1191</v>
      </c>
      <c r="N393">
        <v>1013</v>
      </c>
      <c r="O393" t="s">
        <v>796</v>
      </c>
      <c r="P393" t="s">
        <v>796</v>
      </c>
      <c r="Q393">
        <v>1</v>
      </c>
      <c r="W393">
        <v>0</v>
      </c>
      <c r="X393">
        <v>-1417349443</v>
      </c>
      <c r="Y393">
        <v>7.0000000000000007E-2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6.13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7.0000000000000007E-2</v>
      </c>
      <c r="AU393" t="s">
        <v>3</v>
      </c>
      <c r="AV393">
        <v>2</v>
      </c>
      <c r="AW393">
        <v>2</v>
      </c>
      <c r="AX393">
        <v>39478509</v>
      </c>
      <c r="AY393">
        <v>1</v>
      </c>
      <c r="AZ393">
        <v>0</v>
      </c>
      <c r="BA393">
        <v>364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Y393*Source!I232</f>
        <v>7.000000000000001E-4</v>
      </c>
      <c r="CY393">
        <f t="shared" si="51"/>
        <v>0</v>
      </c>
      <c r="CZ393">
        <f t="shared" si="52"/>
        <v>0</v>
      </c>
      <c r="DA393">
        <f t="shared" si="53"/>
        <v>1</v>
      </c>
      <c r="DB393">
        <v>0</v>
      </c>
    </row>
    <row r="394" spans="1:106" x14ac:dyDescent="0.2">
      <c r="A394">
        <f>ROW(Source!A232)</f>
        <v>232</v>
      </c>
      <c r="B394">
        <v>39476960</v>
      </c>
      <c r="C394">
        <v>39478507</v>
      </c>
      <c r="D394">
        <v>36882452</v>
      </c>
      <c r="E394">
        <v>1</v>
      </c>
      <c r="F394">
        <v>1</v>
      </c>
      <c r="G394">
        <v>1</v>
      </c>
      <c r="H394">
        <v>2</v>
      </c>
      <c r="I394" t="s">
        <v>799</v>
      </c>
      <c r="J394" t="s">
        <v>800</v>
      </c>
      <c r="K394" t="s">
        <v>801</v>
      </c>
      <c r="L394">
        <v>1368</v>
      </c>
      <c r="N394">
        <v>1011</v>
      </c>
      <c r="O394" t="s">
        <v>802</v>
      </c>
      <c r="P394" t="s">
        <v>802</v>
      </c>
      <c r="Q394">
        <v>1</v>
      </c>
      <c r="W394">
        <v>0</v>
      </c>
      <c r="X394">
        <v>1188625873</v>
      </c>
      <c r="Y394">
        <v>7.0000000000000007E-2</v>
      </c>
      <c r="AA394">
        <v>0</v>
      </c>
      <c r="AB394">
        <v>191.62</v>
      </c>
      <c r="AC394">
        <v>13.5</v>
      </c>
      <c r="AD394">
        <v>0</v>
      </c>
      <c r="AE394">
        <v>0</v>
      </c>
      <c r="AF394">
        <v>31.26</v>
      </c>
      <c r="AG394">
        <v>13.5</v>
      </c>
      <c r="AH394">
        <v>0</v>
      </c>
      <c r="AI394">
        <v>1</v>
      </c>
      <c r="AJ394">
        <v>6.13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7.0000000000000007E-2</v>
      </c>
      <c r="AU394" t="s">
        <v>3</v>
      </c>
      <c r="AV394">
        <v>0</v>
      </c>
      <c r="AW394">
        <v>2</v>
      </c>
      <c r="AX394">
        <v>39478510</v>
      </c>
      <c r="AY394">
        <v>1</v>
      </c>
      <c r="AZ394">
        <v>0</v>
      </c>
      <c r="BA394">
        <v>365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Y394*Source!I232</f>
        <v>7.000000000000001E-4</v>
      </c>
      <c r="CY394">
        <f>AB394</f>
        <v>191.62</v>
      </c>
      <c r="CZ394">
        <f>AF394</f>
        <v>31.26</v>
      </c>
      <c r="DA394">
        <f>AJ394</f>
        <v>6.13</v>
      </c>
      <c r="DB394">
        <v>0</v>
      </c>
    </row>
    <row r="395" spans="1:106" x14ac:dyDescent="0.2">
      <c r="A395">
        <f>ROW(Source!A233)</f>
        <v>233</v>
      </c>
      <c r="B395">
        <v>39476960</v>
      </c>
      <c r="C395">
        <v>39478673</v>
      </c>
      <c r="D395">
        <v>37065248</v>
      </c>
      <c r="E395">
        <v>1</v>
      </c>
      <c r="F395">
        <v>1</v>
      </c>
      <c r="G395">
        <v>1</v>
      </c>
      <c r="H395">
        <v>1</v>
      </c>
      <c r="I395" t="s">
        <v>895</v>
      </c>
      <c r="J395" t="s">
        <v>3</v>
      </c>
      <c r="K395" t="s">
        <v>896</v>
      </c>
      <c r="L395">
        <v>1191</v>
      </c>
      <c r="N395">
        <v>1013</v>
      </c>
      <c r="O395" t="s">
        <v>796</v>
      </c>
      <c r="P395" t="s">
        <v>796</v>
      </c>
      <c r="Q395">
        <v>1</v>
      </c>
      <c r="W395">
        <v>0</v>
      </c>
      <c r="X395">
        <v>-400197608</v>
      </c>
      <c r="Y395">
        <v>51.3</v>
      </c>
      <c r="AA395">
        <v>0</v>
      </c>
      <c r="AB395">
        <v>0</v>
      </c>
      <c r="AC395">
        <v>0</v>
      </c>
      <c r="AD395">
        <v>52.29</v>
      </c>
      <c r="AE395">
        <v>0</v>
      </c>
      <c r="AF395">
        <v>0</v>
      </c>
      <c r="AG395">
        <v>0</v>
      </c>
      <c r="AH395">
        <v>8.5299999999999994</v>
      </c>
      <c r="AI395">
        <v>1</v>
      </c>
      <c r="AJ395">
        <v>1</v>
      </c>
      <c r="AK395">
        <v>1</v>
      </c>
      <c r="AL395">
        <v>6.13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3</v>
      </c>
      <c r="AT395">
        <v>51.3</v>
      </c>
      <c r="AU395" t="s">
        <v>3</v>
      </c>
      <c r="AV395">
        <v>1</v>
      </c>
      <c r="AW395">
        <v>2</v>
      </c>
      <c r="AX395">
        <v>39478674</v>
      </c>
      <c r="AY395">
        <v>1</v>
      </c>
      <c r="AZ395">
        <v>0</v>
      </c>
      <c r="BA395">
        <v>367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Y395*Source!I233</f>
        <v>0.51300000000000001</v>
      </c>
      <c r="CY395">
        <f>AD395</f>
        <v>52.29</v>
      </c>
      <c r="CZ395">
        <f>AH395</f>
        <v>8.5299999999999994</v>
      </c>
      <c r="DA395">
        <f>AL395</f>
        <v>6.13</v>
      </c>
      <c r="DB395">
        <v>0</v>
      </c>
    </row>
    <row r="396" spans="1:106" x14ac:dyDescent="0.2">
      <c r="A396">
        <f>ROW(Source!A233)</f>
        <v>233</v>
      </c>
      <c r="B396">
        <v>39476960</v>
      </c>
      <c r="C396">
        <v>39478673</v>
      </c>
      <c r="D396">
        <v>37064876</v>
      </c>
      <c r="E396">
        <v>1</v>
      </c>
      <c r="F396">
        <v>1</v>
      </c>
      <c r="G396">
        <v>1</v>
      </c>
      <c r="H396">
        <v>1</v>
      </c>
      <c r="I396" t="s">
        <v>797</v>
      </c>
      <c r="J396" t="s">
        <v>3</v>
      </c>
      <c r="K396" t="s">
        <v>798</v>
      </c>
      <c r="L396">
        <v>1191</v>
      </c>
      <c r="N396">
        <v>1013</v>
      </c>
      <c r="O396" t="s">
        <v>796</v>
      </c>
      <c r="P396" t="s">
        <v>796</v>
      </c>
      <c r="Q396">
        <v>1</v>
      </c>
      <c r="W396">
        <v>0</v>
      </c>
      <c r="X396">
        <v>-1417349443</v>
      </c>
      <c r="Y396">
        <v>0.26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6.13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0.26</v>
      </c>
      <c r="AU396" t="s">
        <v>3</v>
      </c>
      <c r="AV396">
        <v>2</v>
      </c>
      <c r="AW396">
        <v>2</v>
      </c>
      <c r="AX396">
        <v>39478675</v>
      </c>
      <c r="AY396">
        <v>1</v>
      </c>
      <c r="AZ396">
        <v>0</v>
      </c>
      <c r="BA396">
        <v>368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Y396*Source!I233</f>
        <v>2.6000000000000003E-3</v>
      </c>
      <c r="CY396">
        <f>AD396</f>
        <v>0</v>
      </c>
      <c r="CZ396">
        <f>AH396</f>
        <v>0</v>
      </c>
      <c r="DA396">
        <f>AL396</f>
        <v>1</v>
      </c>
      <c r="DB396">
        <v>0</v>
      </c>
    </row>
    <row r="397" spans="1:106" x14ac:dyDescent="0.2">
      <c r="A397">
        <f>ROW(Source!A233)</f>
        <v>233</v>
      </c>
      <c r="B397">
        <v>39476960</v>
      </c>
      <c r="C397">
        <v>39478673</v>
      </c>
      <c r="D397">
        <v>36882452</v>
      </c>
      <c r="E397">
        <v>1</v>
      </c>
      <c r="F397">
        <v>1</v>
      </c>
      <c r="G397">
        <v>1</v>
      </c>
      <c r="H397">
        <v>2</v>
      </c>
      <c r="I397" t="s">
        <v>799</v>
      </c>
      <c r="J397" t="s">
        <v>800</v>
      </c>
      <c r="K397" t="s">
        <v>801</v>
      </c>
      <c r="L397">
        <v>1368</v>
      </c>
      <c r="N397">
        <v>1011</v>
      </c>
      <c r="O397" t="s">
        <v>802</v>
      </c>
      <c r="P397" t="s">
        <v>802</v>
      </c>
      <c r="Q397">
        <v>1</v>
      </c>
      <c r="W397">
        <v>0</v>
      </c>
      <c r="X397">
        <v>1188625873</v>
      </c>
      <c r="Y397">
        <v>0.26</v>
      </c>
      <c r="AA397">
        <v>0</v>
      </c>
      <c r="AB397">
        <v>191.62</v>
      </c>
      <c r="AC397">
        <v>13.5</v>
      </c>
      <c r="AD397">
        <v>0</v>
      </c>
      <c r="AE397">
        <v>0</v>
      </c>
      <c r="AF397">
        <v>31.26</v>
      </c>
      <c r="AG397">
        <v>13.5</v>
      </c>
      <c r="AH397">
        <v>0</v>
      </c>
      <c r="AI397">
        <v>1</v>
      </c>
      <c r="AJ397">
        <v>6.13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0.26</v>
      </c>
      <c r="AU397" t="s">
        <v>3</v>
      </c>
      <c r="AV397">
        <v>0</v>
      </c>
      <c r="AW397">
        <v>2</v>
      </c>
      <c r="AX397">
        <v>39478676</v>
      </c>
      <c r="AY397">
        <v>1</v>
      </c>
      <c r="AZ397">
        <v>0</v>
      </c>
      <c r="BA397">
        <v>369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Y397*Source!I233</f>
        <v>2.6000000000000003E-3</v>
      </c>
      <c r="CY397">
        <f>AB397</f>
        <v>191.62</v>
      </c>
      <c r="CZ397">
        <f>AF397</f>
        <v>31.26</v>
      </c>
      <c r="DA397">
        <f>AJ397</f>
        <v>6.13</v>
      </c>
      <c r="DB397">
        <v>0</v>
      </c>
    </row>
    <row r="398" spans="1:106" x14ac:dyDescent="0.2">
      <c r="A398">
        <f>ROW(Source!A234)</f>
        <v>234</v>
      </c>
      <c r="B398">
        <v>39476960</v>
      </c>
      <c r="C398">
        <v>39478596</v>
      </c>
      <c r="D398">
        <v>37080781</v>
      </c>
      <c r="E398">
        <v>1</v>
      </c>
      <c r="F398">
        <v>1</v>
      </c>
      <c r="G398">
        <v>1</v>
      </c>
      <c r="H398">
        <v>1</v>
      </c>
      <c r="I398" t="s">
        <v>1129</v>
      </c>
      <c r="J398" t="s">
        <v>3</v>
      </c>
      <c r="K398" t="s">
        <v>1130</v>
      </c>
      <c r="L398">
        <v>1191</v>
      </c>
      <c r="N398">
        <v>1013</v>
      </c>
      <c r="O398" t="s">
        <v>796</v>
      </c>
      <c r="P398" t="s">
        <v>796</v>
      </c>
      <c r="Q398">
        <v>1</v>
      </c>
      <c r="W398">
        <v>0</v>
      </c>
      <c r="X398">
        <v>912892513</v>
      </c>
      <c r="Y398">
        <v>262.53119999999996</v>
      </c>
      <c r="AA398">
        <v>0</v>
      </c>
      <c r="AB398">
        <v>0</v>
      </c>
      <c r="AC398">
        <v>0</v>
      </c>
      <c r="AD398">
        <v>60.81</v>
      </c>
      <c r="AE398">
        <v>0</v>
      </c>
      <c r="AF398">
        <v>0</v>
      </c>
      <c r="AG398">
        <v>0</v>
      </c>
      <c r="AH398">
        <v>9.92</v>
      </c>
      <c r="AI398">
        <v>1</v>
      </c>
      <c r="AJ398">
        <v>1</v>
      </c>
      <c r="AK398">
        <v>1</v>
      </c>
      <c r="AL398">
        <v>6.13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190.24</v>
      </c>
      <c r="AU398" t="s">
        <v>54</v>
      </c>
      <c r="AV398">
        <v>1</v>
      </c>
      <c r="AW398">
        <v>2</v>
      </c>
      <c r="AX398">
        <v>39478597</v>
      </c>
      <c r="AY398">
        <v>1</v>
      </c>
      <c r="AZ398">
        <v>0</v>
      </c>
      <c r="BA398">
        <v>371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Y398*Source!I234</f>
        <v>367.54367999999994</v>
      </c>
      <c r="CY398">
        <f>AD398</f>
        <v>60.81</v>
      </c>
      <c r="CZ398">
        <f>AH398</f>
        <v>9.92</v>
      </c>
      <c r="DA398">
        <f>AL398</f>
        <v>6.13</v>
      </c>
      <c r="DB398">
        <v>0</v>
      </c>
    </row>
    <row r="399" spans="1:106" x14ac:dyDescent="0.2">
      <c r="A399">
        <f>ROW(Source!A234)</f>
        <v>234</v>
      </c>
      <c r="B399">
        <v>39476960</v>
      </c>
      <c r="C399">
        <v>39478596</v>
      </c>
      <c r="D399">
        <v>37064876</v>
      </c>
      <c r="E399">
        <v>1</v>
      </c>
      <c r="F399">
        <v>1</v>
      </c>
      <c r="G399">
        <v>1</v>
      </c>
      <c r="H399">
        <v>1</v>
      </c>
      <c r="I399" t="s">
        <v>797</v>
      </c>
      <c r="J399" t="s">
        <v>3</v>
      </c>
      <c r="K399" t="s">
        <v>798</v>
      </c>
      <c r="L399">
        <v>1191</v>
      </c>
      <c r="N399">
        <v>1013</v>
      </c>
      <c r="O399" t="s">
        <v>796</v>
      </c>
      <c r="P399" t="s">
        <v>796</v>
      </c>
      <c r="Q399">
        <v>1</v>
      </c>
      <c r="W399">
        <v>0</v>
      </c>
      <c r="X399">
        <v>-1417349443</v>
      </c>
      <c r="Y399">
        <v>13.64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6.13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13.64</v>
      </c>
      <c r="AU399" t="s">
        <v>3</v>
      </c>
      <c r="AV399">
        <v>2</v>
      </c>
      <c r="AW399">
        <v>2</v>
      </c>
      <c r="AX399">
        <v>39478598</v>
      </c>
      <c r="AY399">
        <v>1</v>
      </c>
      <c r="AZ399">
        <v>2048</v>
      </c>
      <c r="BA399">
        <v>372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Y399*Source!I234</f>
        <v>19.096</v>
      </c>
      <c r="CY399">
        <f>AD399</f>
        <v>0</v>
      </c>
      <c r="CZ399">
        <f>AH399</f>
        <v>0</v>
      </c>
      <c r="DA399">
        <f>AL399</f>
        <v>1</v>
      </c>
      <c r="DB399">
        <v>0</v>
      </c>
    </row>
    <row r="400" spans="1:106" x14ac:dyDescent="0.2">
      <c r="A400">
        <f>ROW(Source!A234)</f>
        <v>234</v>
      </c>
      <c r="B400">
        <v>39476960</v>
      </c>
      <c r="C400">
        <v>39478596</v>
      </c>
      <c r="D400">
        <v>36882057</v>
      </c>
      <c r="E400">
        <v>1</v>
      </c>
      <c r="F400">
        <v>1</v>
      </c>
      <c r="G400">
        <v>1</v>
      </c>
      <c r="H400">
        <v>2</v>
      </c>
      <c r="I400" t="s">
        <v>897</v>
      </c>
      <c r="J400" t="s">
        <v>898</v>
      </c>
      <c r="K400" t="s">
        <v>899</v>
      </c>
      <c r="L400">
        <v>1368</v>
      </c>
      <c r="N400">
        <v>1011</v>
      </c>
      <c r="O400" t="s">
        <v>802</v>
      </c>
      <c r="P400" t="s">
        <v>802</v>
      </c>
      <c r="Q400">
        <v>1</v>
      </c>
      <c r="W400">
        <v>0</v>
      </c>
      <c r="X400">
        <v>-1460065968</v>
      </c>
      <c r="Y400">
        <v>7.4999999999999997E-2</v>
      </c>
      <c r="AA400">
        <v>0</v>
      </c>
      <c r="AB400">
        <v>529.63</v>
      </c>
      <c r="AC400">
        <v>13.5</v>
      </c>
      <c r="AD400">
        <v>0</v>
      </c>
      <c r="AE400">
        <v>0</v>
      </c>
      <c r="AF400">
        <v>86.4</v>
      </c>
      <c r="AG400">
        <v>13.5</v>
      </c>
      <c r="AH400">
        <v>0</v>
      </c>
      <c r="AI400">
        <v>1</v>
      </c>
      <c r="AJ400">
        <v>6.13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3</v>
      </c>
      <c r="AT400">
        <v>0.05</v>
      </c>
      <c r="AU400" t="s">
        <v>53</v>
      </c>
      <c r="AV400">
        <v>0</v>
      </c>
      <c r="AW400">
        <v>2</v>
      </c>
      <c r="AX400">
        <v>39478599</v>
      </c>
      <c r="AY400">
        <v>1</v>
      </c>
      <c r="AZ400">
        <v>0</v>
      </c>
      <c r="BA400">
        <v>373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Y400*Source!I234</f>
        <v>0.105</v>
      </c>
      <c r="CY400">
        <f>AB400</f>
        <v>529.63</v>
      </c>
      <c r="CZ400">
        <f>AF400</f>
        <v>86.4</v>
      </c>
      <c r="DA400">
        <f>AJ400</f>
        <v>6.13</v>
      </c>
      <c r="DB400">
        <v>0</v>
      </c>
    </row>
    <row r="401" spans="1:106" x14ac:dyDescent="0.2">
      <c r="A401">
        <f>ROW(Source!A234)</f>
        <v>234</v>
      </c>
      <c r="B401">
        <v>39476960</v>
      </c>
      <c r="C401">
        <v>39478596</v>
      </c>
      <c r="D401">
        <v>36882159</v>
      </c>
      <c r="E401">
        <v>1</v>
      </c>
      <c r="F401">
        <v>1</v>
      </c>
      <c r="G401">
        <v>1</v>
      </c>
      <c r="H401">
        <v>2</v>
      </c>
      <c r="I401" t="s">
        <v>825</v>
      </c>
      <c r="J401" t="s">
        <v>826</v>
      </c>
      <c r="K401" t="s">
        <v>827</v>
      </c>
      <c r="L401">
        <v>1368</v>
      </c>
      <c r="N401">
        <v>1011</v>
      </c>
      <c r="O401" t="s">
        <v>802</v>
      </c>
      <c r="P401" t="s">
        <v>802</v>
      </c>
      <c r="Q401">
        <v>1</v>
      </c>
      <c r="W401">
        <v>0</v>
      </c>
      <c r="X401">
        <v>-1718674368</v>
      </c>
      <c r="Y401">
        <v>4.4999999999999998E-2</v>
      </c>
      <c r="AA401">
        <v>0</v>
      </c>
      <c r="AB401">
        <v>686.5</v>
      </c>
      <c r="AC401">
        <v>13.5</v>
      </c>
      <c r="AD401">
        <v>0</v>
      </c>
      <c r="AE401">
        <v>0</v>
      </c>
      <c r="AF401">
        <v>111.99</v>
      </c>
      <c r="AG401">
        <v>13.5</v>
      </c>
      <c r="AH401">
        <v>0</v>
      </c>
      <c r="AI401">
        <v>1</v>
      </c>
      <c r="AJ401">
        <v>6.13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0.03</v>
      </c>
      <c r="AU401" t="s">
        <v>53</v>
      </c>
      <c r="AV401">
        <v>0</v>
      </c>
      <c r="AW401">
        <v>2</v>
      </c>
      <c r="AX401">
        <v>39478600</v>
      </c>
      <c r="AY401">
        <v>1</v>
      </c>
      <c r="AZ401">
        <v>0</v>
      </c>
      <c r="BA401">
        <v>374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Y401*Source!I234</f>
        <v>6.3E-2</v>
      </c>
      <c r="CY401">
        <f>AB401</f>
        <v>686.5</v>
      </c>
      <c r="CZ401">
        <f>AF401</f>
        <v>111.99</v>
      </c>
      <c r="DA401">
        <f>AJ401</f>
        <v>6.13</v>
      </c>
      <c r="DB401">
        <v>0</v>
      </c>
    </row>
    <row r="402" spans="1:106" x14ac:dyDescent="0.2">
      <c r="A402">
        <f>ROW(Source!A234)</f>
        <v>234</v>
      </c>
      <c r="B402">
        <v>39476960</v>
      </c>
      <c r="C402">
        <v>39478596</v>
      </c>
      <c r="D402">
        <v>36883554</v>
      </c>
      <c r="E402">
        <v>1</v>
      </c>
      <c r="F402">
        <v>1</v>
      </c>
      <c r="G402">
        <v>1</v>
      </c>
      <c r="H402">
        <v>2</v>
      </c>
      <c r="I402" t="s">
        <v>834</v>
      </c>
      <c r="J402" t="s">
        <v>835</v>
      </c>
      <c r="K402" t="s">
        <v>836</v>
      </c>
      <c r="L402">
        <v>1368</v>
      </c>
      <c r="N402">
        <v>1011</v>
      </c>
      <c r="O402" t="s">
        <v>802</v>
      </c>
      <c r="P402" t="s">
        <v>802</v>
      </c>
      <c r="Q402">
        <v>1</v>
      </c>
      <c r="W402">
        <v>0</v>
      </c>
      <c r="X402">
        <v>1372534845</v>
      </c>
      <c r="Y402">
        <v>0.33</v>
      </c>
      <c r="AA402">
        <v>0</v>
      </c>
      <c r="AB402">
        <v>402.8</v>
      </c>
      <c r="AC402">
        <v>11.6</v>
      </c>
      <c r="AD402">
        <v>0</v>
      </c>
      <c r="AE402">
        <v>0</v>
      </c>
      <c r="AF402">
        <v>65.709999999999994</v>
      </c>
      <c r="AG402">
        <v>11.6</v>
      </c>
      <c r="AH402">
        <v>0</v>
      </c>
      <c r="AI402">
        <v>1</v>
      </c>
      <c r="AJ402">
        <v>6.13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3</v>
      </c>
      <c r="AT402">
        <v>0.22</v>
      </c>
      <c r="AU402" t="s">
        <v>53</v>
      </c>
      <c r="AV402">
        <v>0</v>
      </c>
      <c r="AW402">
        <v>2</v>
      </c>
      <c r="AX402">
        <v>39478601</v>
      </c>
      <c r="AY402">
        <v>1</v>
      </c>
      <c r="AZ402">
        <v>0</v>
      </c>
      <c r="BA402">
        <v>375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Y402*Source!I234</f>
        <v>0.46199999999999997</v>
      </c>
      <c r="CY402">
        <f>AB402</f>
        <v>402.8</v>
      </c>
      <c r="CZ402">
        <f>AF402</f>
        <v>65.709999999999994</v>
      </c>
      <c r="DA402">
        <f>AJ402</f>
        <v>6.13</v>
      </c>
      <c r="DB402">
        <v>0</v>
      </c>
    </row>
    <row r="403" spans="1:106" x14ac:dyDescent="0.2">
      <c r="A403">
        <f>ROW(Source!A234)</f>
        <v>234</v>
      </c>
      <c r="B403">
        <v>39476960</v>
      </c>
      <c r="C403">
        <v>39478596</v>
      </c>
      <c r="D403">
        <v>36883772</v>
      </c>
      <c r="E403">
        <v>1</v>
      </c>
      <c r="F403">
        <v>1</v>
      </c>
      <c r="G403">
        <v>1</v>
      </c>
      <c r="H403">
        <v>2</v>
      </c>
      <c r="I403" t="s">
        <v>1179</v>
      </c>
      <c r="J403" t="s">
        <v>1180</v>
      </c>
      <c r="K403" t="s">
        <v>1181</v>
      </c>
      <c r="L403">
        <v>1368</v>
      </c>
      <c r="N403">
        <v>1011</v>
      </c>
      <c r="O403" t="s">
        <v>802</v>
      </c>
      <c r="P403" t="s">
        <v>802</v>
      </c>
      <c r="Q403">
        <v>1</v>
      </c>
      <c r="W403">
        <v>0</v>
      </c>
      <c r="X403">
        <v>917635847</v>
      </c>
      <c r="Y403">
        <v>20.010000000000002</v>
      </c>
      <c r="AA403">
        <v>0</v>
      </c>
      <c r="AB403">
        <v>613.61</v>
      </c>
      <c r="AC403">
        <v>13.5</v>
      </c>
      <c r="AD403">
        <v>0</v>
      </c>
      <c r="AE403">
        <v>0</v>
      </c>
      <c r="AF403">
        <v>100.1</v>
      </c>
      <c r="AG403">
        <v>13.5</v>
      </c>
      <c r="AH403">
        <v>0</v>
      </c>
      <c r="AI403">
        <v>1</v>
      </c>
      <c r="AJ403">
        <v>6.13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3</v>
      </c>
      <c r="AT403">
        <v>13.34</v>
      </c>
      <c r="AU403" t="s">
        <v>53</v>
      </c>
      <c r="AV403">
        <v>0</v>
      </c>
      <c r="AW403">
        <v>2</v>
      </c>
      <c r="AX403">
        <v>39478602</v>
      </c>
      <c r="AY403">
        <v>1</v>
      </c>
      <c r="AZ403">
        <v>0</v>
      </c>
      <c r="BA403">
        <v>376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Y403*Source!I234</f>
        <v>28.013999999999999</v>
      </c>
      <c r="CY403">
        <f>AB403</f>
        <v>613.61</v>
      </c>
      <c r="CZ403">
        <f>AF403</f>
        <v>100.1</v>
      </c>
      <c r="DA403">
        <f>AJ403</f>
        <v>6.13</v>
      </c>
      <c r="DB403">
        <v>0</v>
      </c>
    </row>
    <row r="404" spans="1:106" x14ac:dyDescent="0.2">
      <c r="A404">
        <f>ROW(Source!A234)</f>
        <v>234</v>
      </c>
      <c r="B404">
        <v>39476960</v>
      </c>
      <c r="C404">
        <v>39478596</v>
      </c>
      <c r="D404">
        <v>36800611</v>
      </c>
      <c r="E404">
        <v>1</v>
      </c>
      <c r="F404">
        <v>1</v>
      </c>
      <c r="G404">
        <v>1</v>
      </c>
      <c r="H404">
        <v>3</v>
      </c>
      <c r="I404" t="s">
        <v>1182</v>
      </c>
      <c r="J404" t="s">
        <v>1183</v>
      </c>
      <c r="K404" t="s">
        <v>1184</v>
      </c>
      <c r="L404">
        <v>1346</v>
      </c>
      <c r="N404">
        <v>1009</v>
      </c>
      <c r="O404" t="s">
        <v>217</v>
      </c>
      <c r="P404" t="s">
        <v>217</v>
      </c>
      <c r="Q404">
        <v>1</v>
      </c>
      <c r="W404">
        <v>0</v>
      </c>
      <c r="X404">
        <v>-1168800073</v>
      </c>
      <c r="Y404">
        <v>0.25</v>
      </c>
      <c r="AA404">
        <v>72.33</v>
      </c>
      <c r="AB404">
        <v>0</v>
      </c>
      <c r="AC404">
        <v>0</v>
      </c>
      <c r="AD404">
        <v>0</v>
      </c>
      <c r="AE404">
        <v>11.8</v>
      </c>
      <c r="AF404">
        <v>0</v>
      </c>
      <c r="AG404">
        <v>0</v>
      </c>
      <c r="AH404">
        <v>0</v>
      </c>
      <c r="AI404">
        <v>6.13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0.25</v>
      </c>
      <c r="AU404" t="s">
        <v>3</v>
      </c>
      <c r="AV404">
        <v>0</v>
      </c>
      <c r="AW404">
        <v>2</v>
      </c>
      <c r="AX404">
        <v>39478603</v>
      </c>
      <c r="AY404">
        <v>1</v>
      </c>
      <c r="AZ404">
        <v>0</v>
      </c>
      <c r="BA404">
        <v>377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Y404*Source!I234</f>
        <v>0.35</v>
      </c>
      <c r="CY404">
        <f t="shared" ref="CY404:CY414" si="54">AA404</f>
        <v>72.33</v>
      </c>
      <c r="CZ404">
        <f t="shared" ref="CZ404:CZ414" si="55">AE404</f>
        <v>11.8</v>
      </c>
      <c r="DA404">
        <f t="shared" ref="DA404:DA414" si="56">AI404</f>
        <v>6.13</v>
      </c>
      <c r="DB404">
        <v>0</v>
      </c>
    </row>
    <row r="405" spans="1:106" x14ac:dyDescent="0.2">
      <c r="A405">
        <f>ROW(Source!A234)</f>
        <v>234</v>
      </c>
      <c r="B405">
        <v>39476960</v>
      </c>
      <c r="C405">
        <v>39478596</v>
      </c>
      <c r="D405">
        <v>36801792</v>
      </c>
      <c r="E405">
        <v>1</v>
      </c>
      <c r="F405">
        <v>1</v>
      </c>
      <c r="G405">
        <v>1</v>
      </c>
      <c r="H405">
        <v>3</v>
      </c>
      <c r="I405" t="s">
        <v>954</v>
      </c>
      <c r="J405" t="s">
        <v>955</v>
      </c>
      <c r="K405" t="s">
        <v>956</v>
      </c>
      <c r="L405">
        <v>1339</v>
      </c>
      <c r="N405">
        <v>1007</v>
      </c>
      <c r="O405" t="s">
        <v>25</v>
      </c>
      <c r="P405" t="s">
        <v>25</v>
      </c>
      <c r="Q405">
        <v>1</v>
      </c>
      <c r="W405">
        <v>0</v>
      </c>
      <c r="X405">
        <v>-1660354250</v>
      </c>
      <c r="Y405">
        <v>0.47</v>
      </c>
      <c r="AA405">
        <v>14.96</v>
      </c>
      <c r="AB405">
        <v>0</v>
      </c>
      <c r="AC405">
        <v>0</v>
      </c>
      <c r="AD405">
        <v>0</v>
      </c>
      <c r="AE405">
        <v>2.44</v>
      </c>
      <c r="AF405">
        <v>0</v>
      </c>
      <c r="AG405">
        <v>0</v>
      </c>
      <c r="AH405">
        <v>0</v>
      </c>
      <c r="AI405">
        <v>6.13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0.47</v>
      </c>
      <c r="AU405" t="s">
        <v>3</v>
      </c>
      <c r="AV405">
        <v>0</v>
      </c>
      <c r="AW405">
        <v>2</v>
      </c>
      <c r="AX405">
        <v>39478604</v>
      </c>
      <c r="AY405">
        <v>1</v>
      </c>
      <c r="AZ405">
        <v>0</v>
      </c>
      <c r="BA405">
        <v>378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Y405*Source!I234</f>
        <v>0.65799999999999992</v>
      </c>
      <c r="CY405">
        <f t="shared" si="54"/>
        <v>14.96</v>
      </c>
      <c r="CZ405">
        <f t="shared" si="55"/>
        <v>2.44</v>
      </c>
      <c r="DA405">
        <f t="shared" si="56"/>
        <v>6.13</v>
      </c>
      <c r="DB405">
        <v>0</v>
      </c>
    </row>
    <row r="406" spans="1:106" x14ac:dyDescent="0.2">
      <c r="A406">
        <f>ROW(Source!A234)</f>
        <v>234</v>
      </c>
      <c r="B406">
        <v>39476960</v>
      </c>
      <c r="C406">
        <v>39478596</v>
      </c>
      <c r="D406">
        <v>36802293</v>
      </c>
      <c r="E406">
        <v>1</v>
      </c>
      <c r="F406">
        <v>1</v>
      </c>
      <c r="G406">
        <v>1</v>
      </c>
      <c r="H406">
        <v>3</v>
      </c>
      <c r="I406" t="s">
        <v>916</v>
      </c>
      <c r="J406" t="s">
        <v>917</v>
      </c>
      <c r="K406" t="s">
        <v>918</v>
      </c>
      <c r="L406">
        <v>1356</v>
      </c>
      <c r="N406">
        <v>1010</v>
      </c>
      <c r="O406" t="s">
        <v>259</v>
      </c>
      <c r="P406" t="s">
        <v>259</v>
      </c>
      <c r="Q406">
        <v>1000</v>
      </c>
      <c r="W406">
        <v>0</v>
      </c>
      <c r="X406">
        <v>72387144</v>
      </c>
      <c r="Y406">
        <v>0.1</v>
      </c>
      <c r="AA406">
        <v>1555.79</v>
      </c>
      <c r="AB406">
        <v>0</v>
      </c>
      <c r="AC406">
        <v>0</v>
      </c>
      <c r="AD406">
        <v>0</v>
      </c>
      <c r="AE406">
        <v>253.8</v>
      </c>
      <c r="AF406">
        <v>0</v>
      </c>
      <c r="AG406">
        <v>0</v>
      </c>
      <c r="AH406">
        <v>0</v>
      </c>
      <c r="AI406">
        <v>6.13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0.1</v>
      </c>
      <c r="AU406" t="s">
        <v>3</v>
      </c>
      <c r="AV406">
        <v>0</v>
      </c>
      <c r="AW406">
        <v>2</v>
      </c>
      <c r="AX406">
        <v>39478605</v>
      </c>
      <c r="AY406">
        <v>1</v>
      </c>
      <c r="AZ406">
        <v>0</v>
      </c>
      <c r="BA406">
        <v>379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Y406*Source!I234</f>
        <v>0.13999999999999999</v>
      </c>
      <c r="CY406">
        <f t="shared" si="54"/>
        <v>1555.79</v>
      </c>
      <c r="CZ406">
        <f t="shared" si="55"/>
        <v>253.8</v>
      </c>
      <c r="DA406">
        <f t="shared" si="56"/>
        <v>6.13</v>
      </c>
      <c r="DB406">
        <v>0</v>
      </c>
    </row>
    <row r="407" spans="1:106" x14ac:dyDescent="0.2">
      <c r="A407">
        <f>ROW(Source!A234)</f>
        <v>234</v>
      </c>
      <c r="B407">
        <v>39476960</v>
      </c>
      <c r="C407">
        <v>39478596</v>
      </c>
      <c r="D407">
        <v>36804596</v>
      </c>
      <c r="E407">
        <v>1</v>
      </c>
      <c r="F407">
        <v>1</v>
      </c>
      <c r="G407">
        <v>1</v>
      </c>
      <c r="H407">
        <v>3</v>
      </c>
      <c r="I407" t="s">
        <v>922</v>
      </c>
      <c r="J407" t="s">
        <v>923</v>
      </c>
      <c r="K407" t="s">
        <v>924</v>
      </c>
      <c r="L407">
        <v>1348</v>
      </c>
      <c r="N407">
        <v>1009</v>
      </c>
      <c r="O407" t="s">
        <v>34</v>
      </c>
      <c r="P407" t="s">
        <v>34</v>
      </c>
      <c r="Q407">
        <v>1000</v>
      </c>
      <c r="W407">
        <v>0</v>
      </c>
      <c r="X407">
        <v>-735561281</v>
      </c>
      <c r="Y407">
        <v>8.4999999999999995E-4</v>
      </c>
      <c r="AA407">
        <v>138280.54</v>
      </c>
      <c r="AB407">
        <v>0</v>
      </c>
      <c r="AC407">
        <v>0</v>
      </c>
      <c r="AD407">
        <v>0</v>
      </c>
      <c r="AE407">
        <v>22558</v>
      </c>
      <c r="AF407">
        <v>0</v>
      </c>
      <c r="AG407">
        <v>0</v>
      </c>
      <c r="AH407">
        <v>0</v>
      </c>
      <c r="AI407">
        <v>6.13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8.4999999999999995E-4</v>
      </c>
      <c r="AU407" t="s">
        <v>3</v>
      </c>
      <c r="AV407">
        <v>0</v>
      </c>
      <c r="AW407">
        <v>2</v>
      </c>
      <c r="AX407">
        <v>39478606</v>
      </c>
      <c r="AY407">
        <v>1</v>
      </c>
      <c r="AZ407">
        <v>0</v>
      </c>
      <c r="BA407">
        <v>380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Y407*Source!I234</f>
        <v>1.1899999999999999E-3</v>
      </c>
      <c r="CY407">
        <f t="shared" si="54"/>
        <v>138280.54</v>
      </c>
      <c r="CZ407">
        <f t="shared" si="55"/>
        <v>22558</v>
      </c>
      <c r="DA407">
        <f t="shared" si="56"/>
        <v>6.13</v>
      </c>
      <c r="DB407">
        <v>0</v>
      </c>
    </row>
    <row r="408" spans="1:106" x14ac:dyDescent="0.2">
      <c r="A408">
        <f>ROW(Source!A234)</f>
        <v>234</v>
      </c>
      <c r="B408">
        <v>39476960</v>
      </c>
      <c r="C408">
        <v>39478596</v>
      </c>
      <c r="D408">
        <v>36806524</v>
      </c>
      <c r="E408">
        <v>1</v>
      </c>
      <c r="F408">
        <v>1</v>
      </c>
      <c r="G408">
        <v>1</v>
      </c>
      <c r="H408">
        <v>3</v>
      </c>
      <c r="I408" t="s">
        <v>1185</v>
      </c>
      <c r="J408" t="s">
        <v>1186</v>
      </c>
      <c r="K408" t="s">
        <v>1187</v>
      </c>
      <c r="L408">
        <v>1346</v>
      </c>
      <c r="N408">
        <v>1009</v>
      </c>
      <c r="O408" t="s">
        <v>217</v>
      </c>
      <c r="P408" t="s">
        <v>217</v>
      </c>
      <c r="Q408">
        <v>1</v>
      </c>
      <c r="W408">
        <v>0</v>
      </c>
      <c r="X408">
        <v>450790165</v>
      </c>
      <c r="Y408">
        <v>1.6000000000000001E-3</v>
      </c>
      <c r="AA408">
        <v>13.18</v>
      </c>
      <c r="AB408">
        <v>0</v>
      </c>
      <c r="AC408">
        <v>0</v>
      </c>
      <c r="AD408">
        <v>0</v>
      </c>
      <c r="AE408">
        <v>2.15</v>
      </c>
      <c r="AF408">
        <v>0</v>
      </c>
      <c r="AG408">
        <v>0</v>
      </c>
      <c r="AH408">
        <v>0</v>
      </c>
      <c r="AI408">
        <v>6.13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1.6000000000000001E-3</v>
      </c>
      <c r="AU408" t="s">
        <v>3</v>
      </c>
      <c r="AV408">
        <v>0</v>
      </c>
      <c r="AW408">
        <v>2</v>
      </c>
      <c r="AX408">
        <v>39478607</v>
      </c>
      <c r="AY408">
        <v>1</v>
      </c>
      <c r="AZ408">
        <v>0</v>
      </c>
      <c r="BA408">
        <v>381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Y408*Source!I234</f>
        <v>2.2399999999999998E-3</v>
      </c>
      <c r="CY408">
        <f t="shared" si="54"/>
        <v>13.18</v>
      </c>
      <c r="CZ408">
        <f t="shared" si="55"/>
        <v>2.15</v>
      </c>
      <c r="DA408">
        <f t="shared" si="56"/>
        <v>6.13</v>
      </c>
      <c r="DB408">
        <v>0</v>
      </c>
    </row>
    <row r="409" spans="1:106" x14ac:dyDescent="0.2">
      <c r="A409">
        <f>ROW(Source!A234)</f>
        <v>234</v>
      </c>
      <c r="B409">
        <v>39476960</v>
      </c>
      <c r="C409">
        <v>39478596</v>
      </c>
      <c r="D409">
        <v>36836995</v>
      </c>
      <c r="E409">
        <v>1</v>
      </c>
      <c r="F409">
        <v>1</v>
      </c>
      <c r="G409">
        <v>1</v>
      </c>
      <c r="H409">
        <v>3</v>
      </c>
      <c r="I409" t="s">
        <v>1188</v>
      </c>
      <c r="J409" t="s">
        <v>1189</v>
      </c>
      <c r="K409" t="s">
        <v>1190</v>
      </c>
      <c r="L409">
        <v>1346</v>
      </c>
      <c r="N409">
        <v>1009</v>
      </c>
      <c r="O409" t="s">
        <v>217</v>
      </c>
      <c r="P409" t="s">
        <v>217</v>
      </c>
      <c r="Q409">
        <v>1</v>
      </c>
      <c r="W409">
        <v>0</v>
      </c>
      <c r="X409">
        <v>497371595</v>
      </c>
      <c r="Y409">
        <v>0.25</v>
      </c>
      <c r="AA409">
        <v>177.34</v>
      </c>
      <c r="AB409">
        <v>0</v>
      </c>
      <c r="AC409">
        <v>0</v>
      </c>
      <c r="AD409">
        <v>0</v>
      </c>
      <c r="AE409">
        <v>28.93</v>
      </c>
      <c r="AF409">
        <v>0</v>
      </c>
      <c r="AG409">
        <v>0</v>
      </c>
      <c r="AH409">
        <v>0</v>
      </c>
      <c r="AI409">
        <v>6.13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0.25</v>
      </c>
      <c r="AU409" t="s">
        <v>3</v>
      </c>
      <c r="AV409">
        <v>0</v>
      </c>
      <c r="AW409">
        <v>2</v>
      </c>
      <c r="AX409">
        <v>39478609</v>
      </c>
      <c r="AY409">
        <v>1</v>
      </c>
      <c r="AZ409">
        <v>0</v>
      </c>
      <c r="BA409">
        <v>383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Y409*Source!I234</f>
        <v>0.35</v>
      </c>
      <c r="CY409">
        <f t="shared" si="54"/>
        <v>177.34</v>
      </c>
      <c r="CZ409">
        <f t="shared" si="55"/>
        <v>28.93</v>
      </c>
      <c r="DA409">
        <f t="shared" si="56"/>
        <v>6.13</v>
      </c>
      <c r="DB409">
        <v>0</v>
      </c>
    </row>
    <row r="410" spans="1:106" x14ac:dyDescent="0.2">
      <c r="A410">
        <f>ROW(Source!A234)</f>
        <v>234</v>
      </c>
      <c r="B410">
        <v>39476960</v>
      </c>
      <c r="C410">
        <v>39478596</v>
      </c>
      <c r="D410">
        <v>36845024</v>
      </c>
      <c r="E410">
        <v>1</v>
      </c>
      <c r="F410">
        <v>1</v>
      </c>
      <c r="G410">
        <v>1</v>
      </c>
      <c r="H410">
        <v>3</v>
      </c>
      <c r="I410" t="s">
        <v>522</v>
      </c>
      <c r="J410" t="s">
        <v>524</v>
      </c>
      <c r="K410" t="s">
        <v>523</v>
      </c>
      <c r="L410">
        <v>1354</v>
      </c>
      <c r="N410">
        <v>1010</v>
      </c>
      <c r="O410" t="s">
        <v>415</v>
      </c>
      <c r="P410" t="s">
        <v>415</v>
      </c>
      <c r="Q410">
        <v>1</v>
      </c>
      <c r="W410">
        <v>0</v>
      </c>
      <c r="X410">
        <v>-1159073890</v>
      </c>
      <c r="Y410">
        <v>4.2857139999999996</v>
      </c>
      <c r="AA410">
        <v>96.3</v>
      </c>
      <c r="AB410">
        <v>0</v>
      </c>
      <c r="AC410">
        <v>0</v>
      </c>
      <c r="AD410">
        <v>0</v>
      </c>
      <c r="AE410">
        <v>15.71</v>
      </c>
      <c r="AF410">
        <v>0</v>
      </c>
      <c r="AG410">
        <v>0</v>
      </c>
      <c r="AH410">
        <v>0</v>
      </c>
      <c r="AI410">
        <v>6.13</v>
      </c>
      <c r="AJ410">
        <v>1</v>
      </c>
      <c r="AK410">
        <v>1</v>
      </c>
      <c r="AL410">
        <v>1</v>
      </c>
      <c r="AN410">
        <v>0</v>
      </c>
      <c r="AO410">
        <v>0</v>
      </c>
      <c r="AP410">
        <v>0</v>
      </c>
      <c r="AQ410">
        <v>0</v>
      </c>
      <c r="AR410">
        <v>0</v>
      </c>
      <c r="AS410" t="s">
        <v>3</v>
      </c>
      <c r="AT410">
        <v>4.2857139999999996</v>
      </c>
      <c r="AU410" t="s">
        <v>3</v>
      </c>
      <c r="AV410">
        <v>0</v>
      </c>
      <c r="AW410">
        <v>1</v>
      </c>
      <c r="AX410">
        <v>-1</v>
      </c>
      <c r="AY410">
        <v>0</v>
      </c>
      <c r="AZ410">
        <v>0</v>
      </c>
      <c r="BA410" t="s">
        <v>3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Y410*Source!I234</f>
        <v>5.9999995999999989</v>
      </c>
      <c r="CY410">
        <f t="shared" si="54"/>
        <v>96.3</v>
      </c>
      <c r="CZ410">
        <f t="shared" si="55"/>
        <v>15.71</v>
      </c>
      <c r="DA410">
        <f t="shared" si="56"/>
        <v>6.13</v>
      </c>
      <c r="DB410">
        <v>0</v>
      </c>
    </row>
    <row r="411" spans="1:106" x14ac:dyDescent="0.2">
      <c r="A411">
        <f>ROW(Source!A234)</f>
        <v>234</v>
      </c>
      <c r="B411">
        <v>39476960</v>
      </c>
      <c r="C411">
        <v>39478596</v>
      </c>
      <c r="D411">
        <v>36845025</v>
      </c>
      <c r="E411">
        <v>1</v>
      </c>
      <c r="F411">
        <v>1</v>
      </c>
      <c r="G411">
        <v>1</v>
      </c>
      <c r="H411">
        <v>3</v>
      </c>
      <c r="I411" t="s">
        <v>526</v>
      </c>
      <c r="J411" t="s">
        <v>528</v>
      </c>
      <c r="K411" t="s">
        <v>527</v>
      </c>
      <c r="L411">
        <v>1354</v>
      </c>
      <c r="N411">
        <v>1010</v>
      </c>
      <c r="O411" t="s">
        <v>415</v>
      </c>
      <c r="P411" t="s">
        <v>415</v>
      </c>
      <c r="Q411">
        <v>1</v>
      </c>
      <c r="W411">
        <v>0</v>
      </c>
      <c r="X411">
        <v>-22811250</v>
      </c>
      <c r="Y411">
        <v>4.2857139999999996</v>
      </c>
      <c r="AA411">
        <v>151.29</v>
      </c>
      <c r="AB411">
        <v>0</v>
      </c>
      <c r="AC411">
        <v>0</v>
      </c>
      <c r="AD411">
        <v>0</v>
      </c>
      <c r="AE411">
        <v>24.68</v>
      </c>
      <c r="AF411">
        <v>0</v>
      </c>
      <c r="AG411">
        <v>0</v>
      </c>
      <c r="AH411">
        <v>0</v>
      </c>
      <c r="AI411">
        <v>6.13</v>
      </c>
      <c r="AJ411">
        <v>1</v>
      </c>
      <c r="AK411">
        <v>1</v>
      </c>
      <c r="AL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 t="s">
        <v>3</v>
      </c>
      <c r="AT411">
        <v>4.2857139999999996</v>
      </c>
      <c r="AU411" t="s">
        <v>3</v>
      </c>
      <c r="AV411">
        <v>0</v>
      </c>
      <c r="AW411">
        <v>1</v>
      </c>
      <c r="AX411">
        <v>-1</v>
      </c>
      <c r="AY411">
        <v>0</v>
      </c>
      <c r="AZ411">
        <v>0</v>
      </c>
      <c r="BA411" t="s">
        <v>3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Y411*Source!I234</f>
        <v>5.9999995999999989</v>
      </c>
      <c r="CY411">
        <f t="shared" si="54"/>
        <v>151.29</v>
      </c>
      <c r="CZ411">
        <f t="shared" si="55"/>
        <v>24.68</v>
      </c>
      <c r="DA411">
        <f t="shared" si="56"/>
        <v>6.13</v>
      </c>
      <c r="DB411">
        <v>0</v>
      </c>
    </row>
    <row r="412" spans="1:106" x14ac:dyDescent="0.2">
      <c r="A412">
        <f>ROW(Source!A234)</f>
        <v>234</v>
      </c>
      <c r="B412">
        <v>39476960</v>
      </c>
      <c r="C412">
        <v>39478596</v>
      </c>
      <c r="D412">
        <v>36867965</v>
      </c>
      <c r="E412">
        <v>1</v>
      </c>
      <c r="F412">
        <v>1</v>
      </c>
      <c r="G412">
        <v>1</v>
      </c>
      <c r="H412">
        <v>3</v>
      </c>
      <c r="I412" t="s">
        <v>530</v>
      </c>
      <c r="J412" t="s">
        <v>532</v>
      </c>
      <c r="K412" t="s">
        <v>531</v>
      </c>
      <c r="L412">
        <v>1301</v>
      </c>
      <c r="N412">
        <v>1003</v>
      </c>
      <c r="O412" t="s">
        <v>74</v>
      </c>
      <c r="P412" t="s">
        <v>74</v>
      </c>
      <c r="Q412">
        <v>1</v>
      </c>
      <c r="W412">
        <v>0</v>
      </c>
      <c r="X412">
        <v>810245137</v>
      </c>
      <c r="Y412">
        <v>71.428571000000005</v>
      </c>
      <c r="AA412">
        <v>21.39</v>
      </c>
      <c r="AB412">
        <v>0</v>
      </c>
      <c r="AC412">
        <v>0</v>
      </c>
      <c r="AD412">
        <v>0</v>
      </c>
      <c r="AE412">
        <v>3.49</v>
      </c>
      <c r="AF412">
        <v>0</v>
      </c>
      <c r="AG412">
        <v>0</v>
      </c>
      <c r="AH412">
        <v>0</v>
      </c>
      <c r="AI412">
        <v>6.13</v>
      </c>
      <c r="AJ412">
        <v>1</v>
      </c>
      <c r="AK412">
        <v>1</v>
      </c>
      <c r="AL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3</v>
      </c>
      <c r="AT412">
        <v>71.428571000000005</v>
      </c>
      <c r="AU412" t="s">
        <v>3</v>
      </c>
      <c r="AV412">
        <v>0</v>
      </c>
      <c r="AW412">
        <v>1</v>
      </c>
      <c r="AX412">
        <v>-1</v>
      </c>
      <c r="AY412">
        <v>0</v>
      </c>
      <c r="AZ412">
        <v>0</v>
      </c>
      <c r="BA412" t="s">
        <v>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Y412*Source!I234</f>
        <v>99.999999400000007</v>
      </c>
      <c r="CY412">
        <f t="shared" si="54"/>
        <v>21.39</v>
      </c>
      <c r="CZ412">
        <f t="shared" si="55"/>
        <v>3.49</v>
      </c>
      <c r="DA412">
        <f t="shared" si="56"/>
        <v>6.13</v>
      </c>
      <c r="DB412">
        <v>0</v>
      </c>
    </row>
    <row r="413" spans="1:106" x14ac:dyDescent="0.2">
      <c r="A413">
        <f>ROW(Source!A234)</f>
        <v>234</v>
      </c>
      <c r="B413">
        <v>39476960</v>
      </c>
      <c r="C413">
        <v>39478596</v>
      </c>
      <c r="D413">
        <v>36867966</v>
      </c>
      <c r="E413">
        <v>1</v>
      </c>
      <c r="F413">
        <v>1</v>
      </c>
      <c r="G413">
        <v>1</v>
      </c>
      <c r="H413">
        <v>3</v>
      </c>
      <c r="I413" t="s">
        <v>534</v>
      </c>
      <c r="J413" t="s">
        <v>536</v>
      </c>
      <c r="K413" t="s">
        <v>535</v>
      </c>
      <c r="L413">
        <v>1301</v>
      </c>
      <c r="N413">
        <v>1003</v>
      </c>
      <c r="O413" t="s">
        <v>74</v>
      </c>
      <c r="P413" t="s">
        <v>74</v>
      </c>
      <c r="Q413">
        <v>1</v>
      </c>
      <c r="W413">
        <v>0</v>
      </c>
      <c r="X413">
        <v>-2002545417</v>
      </c>
      <c r="Y413">
        <v>28.571428999999998</v>
      </c>
      <c r="AA413">
        <v>28.2</v>
      </c>
      <c r="AB413">
        <v>0</v>
      </c>
      <c r="AC413">
        <v>0</v>
      </c>
      <c r="AD413">
        <v>0</v>
      </c>
      <c r="AE413">
        <v>4.5999999999999996</v>
      </c>
      <c r="AF413">
        <v>0</v>
      </c>
      <c r="AG413">
        <v>0</v>
      </c>
      <c r="AH413">
        <v>0</v>
      </c>
      <c r="AI413">
        <v>6.13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3</v>
      </c>
      <c r="AT413">
        <v>28.571428999999998</v>
      </c>
      <c r="AU413" t="s">
        <v>3</v>
      </c>
      <c r="AV413">
        <v>0</v>
      </c>
      <c r="AW413">
        <v>1</v>
      </c>
      <c r="AX413">
        <v>-1</v>
      </c>
      <c r="AY413">
        <v>0</v>
      </c>
      <c r="AZ413">
        <v>0</v>
      </c>
      <c r="BA413" t="s">
        <v>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Y413*Source!I234</f>
        <v>40.000000599999993</v>
      </c>
      <c r="CY413">
        <f t="shared" si="54"/>
        <v>28.2</v>
      </c>
      <c r="CZ413">
        <f t="shared" si="55"/>
        <v>4.5999999999999996</v>
      </c>
      <c r="DA413">
        <f t="shared" si="56"/>
        <v>6.13</v>
      </c>
      <c r="DB413">
        <v>0</v>
      </c>
    </row>
    <row r="414" spans="1:106" x14ac:dyDescent="0.2">
      <c r="A414">
        <f>ROW(Source!A234)</f>
        <v>234</v>
      </c>
      <c r="B414">
        <v>39476960</v>
      </c>
      <c r="C414">
        <v>39478596</v>
      </c>
      <c r="D414">
        <v>36797405</v>
      </c>
      <c r="E414">
        <v>17</v>
      </c>
      <c r="F414">
        <v>1</v>
      </c>
      <c r="G414">
        <v>1</v>
      </c>
      <c r="H414">
        <v>3</v>
      </c>
      <c r="I414" t="s">
        <v>538</v>
      </c>
      <c r="J414" t="s">
        <v>3</v>
      </c>
      <c r="K414" t="s">
        <v>539</v>
      </c>
      <c r="L414">
        <v>1301</v>
      </c>
      <c r="N414">
        <v>1003</v>
      </c>
      <c r="O414" t="s">
        <v>74</v>
      </c>
      <c r="P414" t="s">
        <v>74</v>
      </c>
      <c r="Q414">
        <v>1</v>
      </c>
      <c r="W414">
        <v>0</v>
      </c>
      <c r="X414">
        <v>1990328174</v>
      </c>
      <c r="Y414">
        <v>100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6.13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3</v>
      </c>
      <c r="AT414">
        <v>100</v>
      </c>
      <c r="AU414" t="s">
        <v>3</v>
      </c>
      <c r="AV414">
        <v>0</v>
      </c>
      <c r="AW414">
        <v>2</v>
      </c>
      <c r="AX414">
        <v>39478612</v>
      </c>
      <c r="AY414">
        <v>1</v>
      </c>
      <c r="AZ414">
        <v>6144</v>
      </c>
      <c r="BA414">
        <v>386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Y414*Source!I234</f>
        <v>140</v>
      </c>
      <c r="CY414">
        <f t="shared" si="54"/>
        <v>0</v>
      </c>
      <c r="CZ414">
        <f t="shared" si="55"/>
        <v>0</v>
      </c>
      <c r="DA414">
        <f t="shared" si="56"/>
        <v>6.13</v>
      </c>
      <c r="DB414">
        <v>0</v>
      </c>
    </row>
    <row r="415" spans="1:106" x14ac:dyDescent="0.2">
      <c r="A415">
        <f>ROW(Source!A240)</f>
        <v>240</v>
      </c>
      <c r="B415">
        <v>39476960</v>
      </c>
      <c r="C415">
        <v>39478628</v>
      </c>
      <c r="D415">
        <v>37071037</v>
      </c>
      <c r="E415">
        <v>1</v>
      </c>
      <c r="F415">
        <v>1</v>
      </c>
      <c r="G415">
        <v>1</v>
      </c>
      <c r="H415">
        <v>1</v>
      </c>
      <c r="I415" t="s">
        <v>992</v>
      </c>
      <c r="J415" t="s">
        <v>3</v>
      </c>
      <c r="K415" t="s">
        <v>993</v>
      </c>
      <c r="L415">
        <v>1191</v>
      </c>
      <c r="N415">
        <v>1013</v>
      </c>
      <c r="O415" t="s">
        <v>796</v>
      </c>
      <c r="P415" t="s">
        <v>796</v>
      </c>
      <c r="Q415">
        <v>1</v>
      </c>
      <c r="W415">
        <v>0</v>
      </c>
      <c r="X415">
        <v>1069510174</v>
      </c>
      <c r="Y415">
        <v>10.3224</v>
      </c>
      <c r="AA415">
        <v>0</v>
      </c>
      <c r="AB415">
        <v>0</v>
      </c>
      <c r="AC415">
        <v>0</v>
      </c>
      <c r="AD415">
        <v>58.97</v>
      </c>
      <c r="AE415">
        <v>0</v>
      </c>
      <c r="AF415">
        <v>0</v>
      </c>
      <c r="AG415">
        <v>0</v>
      </c>
      <c r="AH415">
        <v>9.6199999999999992</v>
      </c>
      <c r="AI415">
        <v>1</v>
      </c>
      <c r="AJ415">
        <v>1</v>
      </c>
      <c r="AK415">
        <v>1</v>
      </c>
      <c r="AL415">
        <v>6.13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7.48</v>
      </c>
      <c r="AU415" t="s">
        <v>54</v>
      </c>
      <c r="AV415">
        <v>1</v>
      </c>
      <c r="AW415">
        <v>2</v>
      </c>
      <c r="AX415">
        <v>39478629</v>
      </c>
      <c r="AY415">
        <v>1</v>
      </c>
      <c r="AZ415">
        <v>0</v>
      </c>
      <c r="BA415">
        <v>388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Y415*Source!I240</f>
        <v>20.6448</v>
      </c>
      <c r="CY415">
        <f>AD415</f>
        <v>58.97</v>
      </c>
      <c r="CZ415">
        <f>AH415</f>
        <v>9.6199999999999992</v>
      </c>
      <c r="DA415">
        <f>AL415</f>
        <v>6.13</v>
      </c>
      <c r="DB415">
        <v>0</v>
      </c>
    </row>
    <row r="416" spans="1:106" x14ac:dyDescent="0.2">
      <c r="A416">
        <f>ROW(Source!A240)</f>
        <v>240</v>
      </c>
      <c r="B416">
        <v>39476960</v>
      </c>
      <c r="C416">
        <v>39478628</v>
      </c>
      <c r="D416">
        <v>37064876</v>
      </c>
      <c r="E416">
        <v>1</v>
      </c>
      <c r="F416">
        <v>1</v>
      </c>
      <c r="G416">
        <v>1</v>
      </c>
      <c r="H416">
        <v>1</v>
      </c>
      <c r="I416" t="s">
        <v>797</v>
      </c>
      <c r="J416" t="s">
        <v>3</v>
      </c>
      <c r="K416" t="s">
        <v>798</v>
      </c>
      <c r="L416">
        <v>1191</v>
      </c>
      <c r="N416">
        <v>1013</v>
      </c>
      <c r="O416" t="s">
        <v>796</v>
      </c>
      <c r="P416" t="s">
        <v>796</v>
      </c>
      <c r="Q416">
        <v>1</v>
      </c>
      <c r="W416">
        <v>0</v>
      </c>
      <c r="X416">
        <v>-1417349443</v>
      </c>
      <c r="Y416">
        <v>0.04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6.13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0.04</v>
      </c>
      <c r="AU416" t="s">
        <v>3</v>
      </c>
      <c r="AV416">
        <v>2</v>
      </c>
      <c r="AW416">
        <v>2</v>
      </c>
      <c r="AX416">
        <v>39478630</v>
      </c>
      <c r="AY416">
        <v>1</v>
      </c>
      <c r="AZ416">
        <v>2048</v>
      </c>
      <c r="BA416">
        <v>389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Y416*Source!I240</f>
        <v>0.08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 x14ac:dyDescent="0.2">
      <c r="A417">
        <f>ROW(Source!A240)</f>
        <v>240</v>
      </c>
      <c r="B417">
        <v>39476960</v>
      </c>
      <c r="C417">
        <v>39478628</v>
      </c>
      <c r="D417">
        <v>36882159</v>
      </c>
      <c r="E417">
        <v>1</v>
      </c>
      <c r="F417">
        <v>1</v>
      </c>
      <c r="G417">
        <v>1</v>
      </c>
      <c r="H417">
        <v>2</v>
      </c>
      <c r="I417" t="s">
        <v>825</v>
      </c>
      <c r="J417" t="s">
        <v>826</v>
      </c>
      <c r="K417" t="s">
        <v>827</v>
      </c>
      <c r="L417">
        <v>1368</v>
      </c>
      <c r="N417">
        <v>1011</v>
      </c>
      <c r="O417" t="s">
        <v>802</v>
      </c>
      <c r="P417" t="s">
        <v>802</v>
      </c>
      <c r="Q417">
        <v>1</v>
      </c>
      <c r="W417">
        <v>0</v>
      </c>
      <c r="X417">
        <v>-1718674368</v>
      </c>
      <c r="Y417">
        <v>0.03</v>
      </c>
      <c r="AA417">
        <v>0</v>
      </c>
      <c r="AB417">
        <v>686.5</v>
      </c>
      <c r="AC417">
        <v>13.5</v>
      </c>
      <c r="AD417">
        <v>0</v>
      </c>
      <c r="AE417">
        <v>0</v>
      </c>
      <c r="AF417">
        <v>111.99</v>
      </c>
      <c r="AG417">
        <v>13.5</v>
      </c>
      <c r="AH417">
        <v>0</v>
      </c>
      <c r="AI417">
        <v>1</v>
      </c>
      <c r="AJ417">
        <v>6.13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0.02</v>
      </c>
      <c r="AU417" t="s">
        <v>53</v>
      </c>
      <c r="AV417">
        <v>0</v>
      </c>
      <c r="AW417">
        <v>2</v>
      </c>
      <c r="AX417">
        <v>39478631</v>
      </c>
      <c r="AY417">
        <v>1</v>
      </c>
      <c r="AZ417">
        <v>0</v>
      </c>
      <c r="BA417">
        <v>390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Y417*Source!I240</f>
        <v>0.06</v>
      </c>
      <c r="CY417">
        <f>AB417</f>
        <v>686.5</v>
      </c>
      <c r="CZ417">
        <f>AF417</f>
        <v>111.99</v>
      </c>
      <c r="DA417">
        <f>AJ417</f>
        <v>6.13</v>
      </c>
      <c r="DB417">
        <v>0</v>
      </c>
    </row>
    <row r="418" spans="1:106" x14ac:dyDescent="0.2">
      <c r="A418">
        <f>ROW(Source!A240)</f>
        <v>240</v>
      </c>
      <c r="B418">
        <v>39476960</v>
      </c>
      <c r="C418">
        <v>39478628</v>
      </c>
      <c r="D418">
        <v>36883554</v>
      </c>
      <c r="E418">
        <v>1</v>
      </c>
      <c r="F418">
        <v>1</v>
      </c>
      <c r="G418">
        <v>1</v>
      </c>
      <c r="H418">
        <v>2</v>
      </c>
      <c r="I418" t="s">
        <v>834</v>
      </c>
      <c r="J418" t="s">
        <v>835</v>
      </c>
      <c r="K418" t="s">
        <v>836</v>
      </c>
      <c r="L418">
        <v>1368</v>
      </c>
      <c r="N418">
        <v>1011</v>
      </c>
      <c r="O418" t="s">
        <v>802</v>
      </c>
      <c r="P418" t="s">
        <v>802</v>
      </c>
      <c r="Q418">
        <v>1</v>
      </c>
      <c r="W418">
        <v>0</v>
      </c>
      <c r="X418">
        <v>1372534845</v>
      </c>
      <c r="Y418">
        <v>0.03</v>
      </c>
      <c r="AA418">
        <v>0</v>
      </c>
      <c r="AB418">
        <v>402.8</v>
      </c>
      <c r="AC418">
        <v>11.6</v>
      </c>
      <c r="AD418">
        <v>0</v>
      </c>
      <c r="AE418">
        <v>0</v>
      </c>
      <c r="AF418">
        <v>65.709999999999994</v>
      </c>
      <c r="AG418">
        <v>11.6</v>
      </c>
      <c r="AH418">
        <v>0</v>
      </c>
      <c r="AI418">
        <v>1</v>
      </c>
      <c r="AJ418">
        <v>6.13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0.02</v>
      </c>
      <c r="AU418" t="s">
        <v>53</v>
      </c>
      <c r="AV418">
        <v>0</v>
      </c>
      <c r="AW418">
        <v>2</v>
      </c>
      <c r="AX418">
        <v>39478632</v>
      </c>
      <c r="AY418">
        <v>1</v>
      </c>
      <c r="AZ418">
        <v>0</v>
      </c>
      <c r="BA418">
        <v>391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Y418*Source!I240</f>
        <v>0.06</v>
      </c>
      <c r="CY418">
        <f>AB418</f>
        <v>402.8</v>
      </c>
      <c r="CZ418">
        <f>AF418</f>
        <v>65.709999999999994</v>
      </c>
      <c r="DA418">
        <f>AJ418</f>
        <v>6.13</v>
      </c>
      <c r="DB418">
        <v>0</v>
      </c>
    </row>
    <row r="419" spans="1:106" x14ac:dyDescent="0.2">
      <c r="A419">
        <f>ROW(Source!A240)</f>
        <v>240</v>
      </c>
      <c r="B419">
        <v>39476960</v>
      </c>
      <c r="C419">
        <v>39478628</v>
      </c>
      <c r="D419">
        <v>36883858</v>
      </c>
      <c r="E419">
        <v>1</v>
      </c>
      <c r="F419">
        <v>1</v>
      </c>
      <c r="G419">
        <v>1</v>
      </c>
      <c r="H419">
        <v>2</v>
      </c>
      <c r="I419" t="s">
        <v>1139</v>
      </c>
      <c r="J419" t="s">
        <v>1140</v>
      </c>
      <c r="K419" t="s">
        <v>1141</v>
      </c>
      <c r="L419">
        <v>1368</v>
      </c>
      <c r="N419">
        <v>1011</v>
      </c>
      <c r="O419" t="s">
        <v>802</v>
      </c>
      <c r="P419" t="s">
        <v>802</v>
      </c>
      <c r="Q419">
        <v>1</v>
      </c>
      <c r="W419">
        <v>0</v>
      </c>
      <c r="X419">
        <v>-353815937</v>
      </c>
      <c r="Y419">
        <v>0.46499999999999997</v>
      </c>
      <c r="AA419">
        <v>0</v>
      </c>
      <c r="AB419">
        <v>49.65</v>
      </c>
      <c r="AC419">
        <v>0</v>
      </c>
      <c r="AD419">
        <v>0</v>
      </c>
      <c r="AE419">
        <v>0</v>
      </c>
      <c r="AF419">
        <v>8.1</v>
      </c>
      <c r="AG419">
        <v>0</v>
      </c>
      <c r="AH419">
        <v>0</v>
      </c>
      <c r="AI419">
        <v>1</v>
      </c>
      <c r="AJ419">
        <v>6.13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0.31</v>
      </c>
      <c r="AU419" t="s">
        <v>53</v>
      </c>
      <c r="AV419">
        <v>0</v>
      </c>
      <c r="AW419">
        <v>2</v>
      </c>
      <c r="AX419">
        <v>39478633</v>
      </c>
      <c r="AY419">
        <v>1</v>
      </c>
      <c r="AZ419">
        <v>0</v>
      </c>
      <c r="BA419">
        <v>392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Y419*Source!I240</f>
        <v>0.92999999999999994</v>
      </c>
      <c r="CY419">
        <f>AB419</f>
        <v>49.65</v>
      </c>
      <c r="CZ419">
        <f>AF419</f>
        <v>8.1</v>
      </c>
      <c r="DA419">
        <f>AJ419</f>
        <v>6.13</v>
      </c>
      <c r="DB419">
        <v>0</v>
      </c>
    </row>
    <row r="420" spans="1:106" x14ac:dyDescent="0.2">
      <c r="A420">
        <f>ROW(Source!A240)</f>
        <v>240</v>
      </c>
      <c r="B420">
        <v>39476960</v>
      </c>
      <c r="C420">
        <v>39478628</v>
      </c>
      <c r="D420">
        <v>36803269</v>
      </c>
      <c r="E420">
        <v>1</v>
      </c>
      <c r="F420">
        <v>1</v>
      </c>
      <c r="G420">
        <v>1</v>
      </c>
      <c r="H420">
        <v>3</v>
      </c>
      <c r="I420" t="s">
        <v>1191</v>
      </c>
      <c r="J420" t="s">
        <v>1192</v>
      </c>
      <c r="K420" t="s">
        <v>1193</v>
      </c>
      <c r="L420">
        <v>1348</v>
      </c>
      <c r="N420">
        <v>1009</v>
      </c>
      <c r="O420" t="s">
        <v>34</v>
      </c>
      <c r="P420" t="s">
        <v>34</v>
      </c>
      <c r="Q420">
        <v>1000</v>
      </c>
      <c r="W420">
        <v>0</v>
      </c>
      <c r="X420">
        <v>-1068056325</v>
      </c>
      <c r="Y420">
        <v>1.8000000000000001E-4</v>
      </c>
      <c r="AA420">
        <v>63519.06</v>
      </c>
      <c r="AB420">
        <v>0</v>
      </c>
      <c r="AC420">
        <v>0</v>
      </c>
      <c r="AD420">
        <v>0</v>
      </c>
      <c r="AE420">
        <v>10362</v>
      </c>
      <c r="AF420">
        <v>0</v>
      </c>
      <c r="AG420">
        <v>0</v>
      </c>
      <c r="AH420">
        <v>0</v>
      </c>
      <c r="AI420">
        <v>6.13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1.8000000000000001E-4</v>
      </c>
      <c r="AU420" t="s">
        <v>3</v>
      </c>
      <c r="AV420">
        <v>0</v>
      </c>
      <c r="AW420">
        <v>2</v>
      </c>
      <c r="AX420">
        <v>39478634</v>
      </c>
      <c r="AY420">
        <v>1</v>
      </c>
      <c r="AZ420">
        <v>0</v>
      </c>
      <c r="BA420">
        <v>393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Y420*Source!I240</f>
        <v>3.6000000000000002E-4</v>
      </c>
      <c r="CY420">
        <f>AA420</f>
        <v>63519.06</v>
      </c>
      <c r="CZ420">
        <f>AE420</f>
        <v>10362</v>
      </c>
      <c r="DA420">
        <f>AI420</f>
        <v>6.13</v>
      </c>
      <c r="DB420">
        <v>0</v>
      </c>
    </row>
    <row r="421" spans="1:106" x14ac:dyDescent="0.2">
      <c r="A421">
        <f>ROW(Source!A240)</f>
        <v>240</v>
      </c>
      <c r="B421">
        <v>39476960</v>
      </c>
      <c r="C421">
        <v>39478628</v>
      </c>
      <c r="D421">
        <v>36807340</v>
      </c>
      <c r="E421">
        <v>1</v>
      </c>
      <c r="F421">
        <v>1</v>
      </c>
      <c r="G421">
        <v>1</v>
      </c>
      <c r="H421">
        <v>3</v>
      </c>
      <c r="I421" t="s">
        <v>1194</v>
      </c>
      <c r="J421" t="s">
        <v>1195</v>
      </c>
      <c r="K421" t="s">
        <v>1196</v>
      </c>
      <c r="L421">
        <v>1339</v>
      </c>
      <c r="N421">
        <v>1007</v>
      </c>
      <c r="O421" t="s">
        <v>25</v>
      </c>
      <c r="P421" t="s">
        <v>25</v>
      </c>
      <c r="Q421">
        <v>1</v>
      </c>
      <c r="W421">
        <v>0</v>
      </c>
      <c r="X421">
        <v>-1019936957</v>
      </c>
      <c r="Y421">
        <v>5.0000000000000001E-3</v>
      </c>
      <c r="AA421">
        <v>2978.57</v>
      </c>
      <c r="AB421">
        <v>0</v>
      </c>
      <c r="AC421">
        <v>0</v>
      </c>
      <c r="AD421">
        <v>0</v>
      </c>
      <c r="AE421">
        <v>485.9</v>
      </c>
      <c r="AF421">
        <v>0</v>
      </c>
      <c r="AG421">
        <v>0</v>
      </c>
      <c r="AH421">
        <v>0</v>
      </c>
      <c r="AI421">
        <v>6.13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5.0000000000000001E-3</v>
      </c>
      <c r="AU421" t="s">
        <v>3</v>
      </c>
      <c r="AV421">
        <v>0</v>
      </c>
      <c r="AW421">
        <v>2</v>
      </c>
      <c r="AX421">
        <v>39478635</v>
      </c>
      <c r="AY421">
        <v>1</v>
      </c>
      <c r="AZ421">
        <v>0</v>
      </c>
      <c r="BA421">
        <v>394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Y421*Source!I240</f>
        <v>0.01</v>
      </c>
      <c r="CY421">
        <f>AA421</f>
        <v>2978.57</v>
      </c>
      <c r="CZ421">
        <f>AE421</f>
        <v>485.9</v>
      </c>
      <c r="DA421">
        <f>AI421</f>
        <v>6.13</v>
      </c>
      <c r="DB421">
        <v>0</v>
      </c>
    </row>
    <row r="422" spans="1:106" x14ac:dyDescent="0.2">
      <c r="A422">
        <f>ROW(Source!A240)</f>
        <v>240</v>
      </c>
      <c r="B422">
        <v>39476960</v>
      </c>
      <c r="C422">
        <v>39478628</v>
      </c>
      <c r="D422">
        <v>36866005</v>
      </c>
      <c r="E422">
        <v>1</v>
      </c>
      <c r="F422">
        <v>1</v>
      </c>
      <c r="G422">
        <v>1</v>
      </c>
      <c r="H422">
        <v>3</v>
      </c>
      <c r="I422" t="s">
        <v>547</v>
      </c>
      <c r="J422" t="s">
        <v>549</v>
      </c>
      <c r="K422" t="s">
        <v>548</v>
      </c>
      <c r="L422">
        <v>1354</v>
      </c>
      <c r="N422">
        <v>1010</v>
      </c>
      <c r="O422" t="s">
        <v>415</v>
      </c>
      <c r="P422" t="s">
        <v>415</v>
      </c>
      <c r="Q422">
        <v>1</v>
      </c>
      <c r="W422">
        <v>0</v>
      </c>
      <c r="X422">
        <v>1150264591</v>
      </c>
      <c r="Y422">
        <v>1</v>
      </c>
      <c r="AA422">
        <v>622.69000000000005</v>
      </c>
      <c r="AB422">
        <v>0</v>
      </c>
      <c r="AC422">
        <v>0</v>
      </c>
      <c r="AD422">
        <v>0</v>
      </c>
      <c r="AE422">
        <v>101.58</v>
      </c>
      <c r="AF422">
        <v>0</v>
      </c>
      <c r="AG422">
        <v>0</v>
      </c>
      <c r="AH422">
        <v>0</v>
      </c>
      <c r="AI422">
        <v>6.13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3</v>
      </c>
      <c r="AT422">
        <v>1</v>
      </c>
      <c r="AU422" t="s">
        <v>3</v>
      </c>
      <c r="AV422">
        <v>0</v>
      </c>
      <c r="AW422">
        <v>1</v>
      </c>
      <c r="AX422">
        <v>-1</v>
      </c>
      <c r="AY422">
        <v>0</v>
      </c>
      <c r="AZ422">
        <v>0</v>
      </c>
      <c r="BA422" t="s">
        <v>3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Y422*Source!I240</f>
        <v>2</v>
      </c>
      <c r="CY422">
        <f>AA422</f>
        <v>622.69000000000005</v>
      </c>
      <c r="CZ422">
        <f>AE422</f>
        <v>101.58</v>
      </c>
      <c r="DA422">
        <f>AI422</f>
        <v>6.13</v>
      </c>
      <c r="DB422">
        <v>0</v>
      </c>
    </row>
    <row r="423" spans="1:106" x14ac:dyDescent="0.2">
      <c r="A423">
        <f>ROW(Source!A242)</f>
        <v>242</v>
      </c>
      <c r="B423">
        <v>39476960</v>
      </c>
      <c r="C423">
        <v>39478643</v>
      </c>
      <c r="D423">
        <v>37064878</v>
      </c>
      <c r="E423">
        <v>1</v>
      </c>
      <c r="F423">
        <v>1</v>
      </c>
      <c r="G423">
        <v>1</v>
      </c>
      <c r="H423">
        <v>1</v>
      </c>
      <c r="I423" t="s">
        <v>820</v>
      </c>
      <c r="J423" t="s">
        <v>3</v>
      </c>
      <c r="K423" t="s">
        <v>821</v>
      </c>
      <c r="L423">
        <v>1191</v>
      </c>
      <c r="N423">
        <v>1013</v>
      </c>
      <c r="O423" t="s">
        <v>796</v>
      </c>
      <c r="P423" t="s">
        <v>796</v>
      </c>
      <c r="Q423">
        <v>1</v>
      </c>
      <c r="W423">
        <v>0</v>
      </c>
      <c r="X423">
        <v>-1081351934</v>
      </c>
      <c r="Y423">
        <v>11.288399999999998</v>
      </c>
      <c r="AA423">
        <v>0</v>
      </c>
      <c r="AB423">
        <v>0</v>
      </c>
      <c r="AC423">
        <v>0</v>
      </c>
      <c r="AD423">
        <v>57.62</v>
      </c>
      <c r="AE423">
        <v>0</v>
      </c>
      <c r="AF423">
        <v>0</v>
      </c>
      <c r="AG423">
        <v>0</v>
      </c>
      <c r="AH423">
        <v>9.4</v>
      </c>
      <c r="AI423">
        <v>1</v>
      </c>
      <c r="AJ423">
        <v>1</v>
      </c>
      <c r="AK423">
        <v>1</v>
      </c>
      <c r="AL423">
        <v>6.13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8.18</v>
      </c>
      <c r="AU423" t="s">
        <v>54</v>
      </c>
      <c r="AV423">
        <v>1</v>
      </c>
      <c r="AW423">
        <v>2</v>
      </c>
      <c r="AX423">
        <v>39478644</v>
      </c>
      <c r="AY423">
        <v>1</v>
      </c>
      <c r="AZ423">
        <v>0</v>
      </c>
      <c r="BA423">
        <v>396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Y423*Source!I242</f>
        <v>1.1288399999999998</v>
      </c>
      <c r="CY423">
        <f>AD423</f>
        <v>57.62</v>
      </c>
      <c r="CZ423">
        <f>AH423</f>
        <v>9.4</v>
      </c>
      <c r="DA423">
        <f>AL423</f>
        <v>6.13</v>
      </c>
      <c r="DB423">
        <v>0</v>
      </c>
    </row>
    <row r="424" spans="1:106" x14ac:dyDescent="0.2">
      <c r="A424">
        <f>ROW(Source!A242)</f>
        <v>242</v>
      </c>
      <c r="B424">
        <v>39476960</v>
      </c>
      <c r="C424">
        <v>39478643</v>
      </c>
      <c r="D424">
        <v>37064876</v>
      </c>
      <c r="E424">
        <v>1</v>
      </c>
      <c r="F424">
        <v>1</v>
      </c>
      <c r="G424">
        <v>1</v>
      </c>
      <c r="H424">
        <v>1</v>
      </c>
      <c r="I424" t="s">
        <v>797</v>
      </c>
      <c r="J424" t="s">
        <v>3</v>
      </c>
      <c r="K424" t="s">
        <v>798</v>
      </c>
      <c r="L424">
        <v>1191</v>
      </c>
      <c r="N424">
        <v>1013</v>
      </c>
      <c r="O424" t="s">
        <v>796</v>
      </c>
      <c r="P424" t="s">
        <v>796</v>
      </c>
      <c r="Q424">
        <v>1</v>
      </c>
      <c r="W424">
        <v>0</v>
      </c>
      <c r="X424">
        <v>-1417349443</v>
      </c>
      <c r="Y424">
        <v>0.36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6.13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0.36</v>
      </c>
      <c r="AU424" t="s">
        <v>3</v>
      </c>
      <c r="AV424">
        <v>2</v>
      </c>
      <c r="AW424">
        <v>2</v>
      </c>
      <c r="AX424">
        <v>39478645</v>
      </c>
      <c r="AY424">
        <v>1</v>
      </c>
      <c r="AZ424">
        <v>2048</v>
      </c>
      <c r="BA424">
        <v>397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Y424*Source!I242</f>
        <v>3.5999999999999997E-2</v>
      </c>
      <c r="CY424">
        <f>AD424</f>
        <v>0</v>
      </c>
      <c r="CZ424">
        <f>AH424</f>
        <v>0</v>
      </c>
      <c r="DA424">
        <f>AL424</f>
        <v>1</v>
      </c>
      <c r="DB424">
        <v>0</v>
      </c>
    </row>
    <row r="425" spans="1:106" x14ac:dyDescent="0.2">
      <c r="A425">
        <f>ROW(Source!A242)</f>
        <v>242</v>
      </c>
      <c r="B425">
        <v>39476960</v>
      </c>
      <c r="C425">
        <v>39478643</v>
      </c>
      <c r="D425">
        <v>36882159</v>
      </c>
      <c r="E425">
        <v>1</v>
      </c>
      <c r="F425">
        <v>1</v>
      </c>
      <c r="G425">
        <v>1</v>
      </c>
      <c r="H425">
        <v>2</v>
      </c>
      <c r="I425" t="s">
        <v>825</v>
      </c>
      <c r="J425" t="s">
        <v>826</v>
      </c>
      <c r="K425" t="s">
        <v>827</v>
      </c>
      <c r="L425">
        <v>1368</v>
      </c>
      <c r="N425">
        <v>1011</v>
      </c>
      <c r="O425" t="s">
        <v>802</v>
      </c>
      <c r="P425" t="s">
        <v>802</v>
      </c>
      <c r="Q425">
        <v>1</v>
      </c>
      <c r="W425">
        <v>0</v>
      </c>
      <c r="X425">
        <v>-1718674368</v>
      </c>
      <c r="Y425">
        <v>1.4999999999999999E-2</v>
      </c>
      <c r="AA425">
        <v>0</v>
      </c>
      <c r="AB425">
        <v>686.5</v>
      </c>
      <c r="AC425">
        <v>13.5</v>
      </c>
      <c r="AD425">
        <v>0</v>
      </c>
      <c r="AE425">
        <v>0</v>
      </c>
      <c r="AF425">
        <v>111.99</v>
      </c>
      <c r="AG425">
        <v>13.5</v>
      </c>
      <c r="AH425">
        <v>0</v>
      </c>
      <c r="AI425">
        <v>1</v>
      </c>
      <c r="AJ425">
        <v>6.13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0.01</v>
      </c>
      <c r="AU425" t="s">
        <v>53</v>
      </c>
      <c r="AV425">
        <v>0</v>
      </c>
      <c r="AW425">
        <v>2</v>
      </c>
      <c r="AX425">
        <v>39478646</v>
      </c>
      <c r="AY425">
        <v>1</v>
      </c>
      <c r="AZ425">
        <v>0</v>
      </c>
      <c r="BA425">
        <v>398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Y425*Source!I242</f>
        <v>1.5E-3</v>
      </c>
      <c r="CY425">
        <f>AB425</f>
        <v>686.5</v>
      </c>
      <c r="CZ425">
        <f>AF425</f>
        <v>111.99</v>
      </c>
      <c r="DA425">
        <f>AJ425</f>
        <v>6.13</v>
      </c>
      <c r="DB425">
        <v>0</v>
      </c>
    </row>
    <row r="426" spans="1:106" x14ac:dyDescent="0.2">
      <c r="A426">
        <f>ROW(Source!A242)</f>
        <v>242</v>
      </c>
      <c r="B426">
        <v>39476960</v>
      </c>
      <c r="C426">
        <v>39478643</v>
      </c>
      <c r="D426">
        <v>36883554</v>
      </c>
      <c r="E426">
        <v>1</v>
      </c>
      <c r="F426">
        <v>1</v>
      </c>
      <c r="G426">
        <v>1</v>
      </c>
      <c r="H426">
        <v>2</v>
      </c>
      <c r="I426" t="s">
        <v>834</v>
      </c>
      <c r="J426" t="s">
        <v>835</v>
      </c>
      <c r="K426" t="s">
        <v>836</v>
      </c>
      <c r="L426">
        <v>1368</v>
      </c>
      <c r="N426">
        <v>1011</v>
      </c>
      <c r="O426" t="s">
        <v>802</v>
      </c>
      <c r="P426" t="s">
        <v>802</v>
      </c>
      <c r="Q426">
        <v>1</v>
      </c>
      <c r="W426">
        <v>0</v>
      </c>
      <c r="X426">
        <v>1372534845</v>
      </c>
      <c r="Y426">
        <v>0.52500000000000002</v>
      </c>
      <c r="AA426">
        <v>0</v>
      </c>
      <c r="AB426">
        <v>402.8</v>
      </c>
      <c r="AC426">
        <v>11.6</v>
      </c>
      <c r="AD426">
        <v>0</v>
      </c>
      <c r="AE426">
        <v>0</v>
      </c>
      <c r="AF426">
        <v>65.709999999999994</v>
      </c>
      <c r="AG426">
        <v>11.6</v>
      </c>
      <c r="AH426">
        <v>0</v>
      </c>
      <c r="AI426">
        <v>1</v>
      </c>
      <c r="AJ426">
        <v>6.13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0.35</v>
      </c>
      <c r="AU426" t="s">
        <v>53</v>
      </c>
      <c r="AV426">
        <v>0</v>
      </c>
      <c r="AW426">
        <v>2</v>
      </c>
      <c r="AX426">
        <v>39478647</v>
      </c>
      <c r="AY426">
        <v>1</v>
      </c>
      <c r="AZ426">
        <v>0</v>
      </c>
      <c r="BA426">
        <v>399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Y426*Source!I242</f>
        <v>5.2500000000000005E-2</v>
      </c>
      <c r="CY426">
        <f>AB426</f>
        <v>402.8</v>
      </c>
      <c r="CZ426">
        <f>AF426</f>
        <v>65.709999999999994</v>
      </c>
      <c r="DA426">
        <f>AJ426</f>
        <v>6.13</v>
      </c>
      <c r="DB426">
        <v>0</v>
      </c>
    </row>
    <row r="427" spans="1:106" x14ac:dyDescent="0.2">
      <c r="A427">
        <f>ROW(Source!A242)</f>
        <v>242</v>
      </c>
      <c r="B427">
        <v>39476960</v>
      </c>
      <c r="C427">
        <v>39478643</v>
      </c>
      <c r="D427">
        <v>36883858</v>
      </c>
      <c r="E427">
        <v>1</v>
      </c>
      <c r="F427">
        <v>1</v>
      </c>
      <c r="G427">
        <v>1</v>
      </c>
      <c r="H427">
        <v>2</v>
      </c>
      <c r="I427" t="s">
        <v>1139</v>
      </c>
      <c r="J427" t="s">
        <v>1140</v>
      </c>
      <c r="K427" t="s">
        <v>1141</v>
      </c>
      <c r="L427">
        <v>1368</v>
      </c>
      <c r="N427">
        <v>1011</v>
      </c>
      <c r="O427" t="s">
        <v>802</v>
      </c>
      <c r="P427" t="s">
        <v>802</v>
      </c>
      <c r="Q427">
        <v>1</v>
      </c>
      <c r="W427">
        <v>0</v>
      </c>
      <c r="X427">
        <v>-353815937</v>
      </c>
      <c r="Y427">
        <v>4.169999999999999</v>
      </c>
      <c r="AA427">
        <v>0</v>
      </c>
      <c r="AB427">
        <v>49.65</v>
      </c>
      <c r="AC427">
        <v>0</v>
      </c>
      <c r="AD427">
        <v>0</v>
      </c>
      <c r="AE427">
        <v>0</v>
      </c>
      <c r="AF427">
        <v>8.1</v>
      </c>
      <c r="AG427">
        <v>0</v>
      </c>
      <c r="AH427">
        <v>0</v>
      </c>
      <c r="AI427">
        <v>1</v>
      </c>
      <c r="AJ427">
        <v>6.13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2.78</v>
      </c>
      <c r="AU427" t="s">
        <v>53</v>
      </c>
      <c r="AV427">
        <v>0</v>
      </c>
      <c r="AW427">
        <v>2</v>
      </c>
      <c r="AX427">
        <v>39478648</v>
      </c>
      <c r="AY427">
        <v>1</v>
      </c>
      <c r="AZ427">
        <v>0</v>
      </c>
      <c r="BA427">
        <v>400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Y427*Source!I242</f>
        <v>0.41699999999999993</v>
      </c>
      <c r="CY427">
        <f>AB427</f>
        <v>49.65</v>
      </c>
      <c r="CZ427">
        <f>AF427</f>
        <v>8.1</v>
      </c>
      <c r="DA427">
        <f>AJ427</f>
        <v>6.13</v>
      </c>
      <c r="DB427">
        <v>0</v>
      </c>
    </row>
    <row r="428" spans="1:106" x14ac:dyDescent="0.2">
      <c r="A428">
        <f>ROW(Source!A242)</f>
        <v>242</v>
      </c>
      <c r="B428">
        <v>39476960</v>
      </c>
      <c r="C428">
        <v>39478643</v>
      </c>
      <c r="D428">
        <v>36803269</v>
      </c>
      <c r="E428">
        <v>1</v>
      </c>
      <c r="F428">
        <v>1</v>
      </c>
      <c r="G428">
        <v>1</v>
      </c>
      <c r="H428">
        <v>3</v>
      </c>
      <c r="I428" t="s">
        <v>1191</v>
      </c>
      <c r="J428" t="s">
        <v>1192</v>
      </c>
      <c r="K428" t="s">
        <v>1193</v>
      </c>
      <c r="L428">
        <v>1348</v>
      </c>
      <c r="N428">
        <v>1009</v>
      </c>
      <c r="O428" t="s">
        <v>34</v>
      </c>
      <c r="P428" t="s">
        <v>34</v>
      </c>
      <c r="Q428">
        <v>1000</v>
      </c>
      <c r="W428">
        <v>0</v>
      </c>
      <c r="X428">
        <v>-1068056325</v>
      </c>
      <c r="Y428">
        <v>6.9999999999999999E-4</v>
      </c>
      <c r="AA428">
        <v>63519.06</v>
      </c>
      <c r="AB428">
        <v>0</v>
      </c>
      <c r="AC428">
        <v>0</v>
      </c>
      <c r="AD428">
        <v>0</v>
      </c>
      <c r="AE428">
        <v>10362</v>
      </c>
      <c r="AF428">
        <v>0</v>
      </c>
      <c r="AG428">
        <v>0</v>
      </c>
      <c r="AH428">
        <v>0</v>
      </c>
      <c r="AI428">
        <v>6.13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6.9999999999999999E-4</v>
      </c>
      <c r="AU428" t="s">
        <v>3</v>
      </c>
      <c r="AV428">
        <v>0</v>
      </c>
      <c r="AW428">
        <v>2</v>
      </c>
      <c r="AX428">
        <v>39478649</v>
      </c>
      <c r="AY428">
        <v>1</v>
      </c>
      <c r="AZ428">
        <v>0</v>
      </c>
      <c r="BA428">
        <v>401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Y428*Source!I242</f>
        <v>7.0000000000000007E-5</v>
      </c>
      <c r="CY428">
        <f>AA428</f>
        <v>63519.06</v>
      </c>
      <c r="CZ428">
        <f>AE428</f>
        <v>10362</v>
      </c>
      <c r="DA428">
        <f>AI428</f>
        <v>6.13</v>
      </c>
      <c r="DB428">
        <v>0</v>
      </c>
    </row>
    <row r="429" spans="1:106" x14ac:dyDescent="0.2">
      <c r="A429">
        <f>ROW(Source!A242)</f>
        <v>242</v>
      </c>
      <c r="B429">
        <v>39476960</v>
      </c>
      <c r="C429">
        <v>39478643</v>
      </c>
      <c r="D429">
        <v>36846565</v>
      </c>
      <c r="E429">
        <v>1</v>
      </c>
      <c r="F429">
        <v>1</v>
      </c>
      <c r="G429">
        <v>1</v>
      </c>
      <c r="H429">
        <v>3</v>
      </c>
      <c r="I429" t="s">
        <v>556</v>
      </c>
      <c r="J429" t="s">
        <v>558</v>
      </c>
      <c r="K429" t="s">
        <v>557</v>
      </c>
      <c r="L429">
        <v>1354</v>
      </c>
      <c r="N429">
        <v>1010</v>
      </c>
      <c r="O429" t="s">
        <v>415</v>
      </c>
      <c r="P429" t="s">
        <v>415</v>
      </c>
      <c r="Q429">
        <v>1</v>
      </c>
      <c r="W429">
        <v>0</v>
      </c>
      <c r="X429">
        <v>870605364</v>
      </c>
      <c r="Y429">
        <v>10</v>
      </c>
      <c r="AA429">
        <v>1980.79</v>
      </c>
      <c r="AB429">
        <v>0</v>
      </c>
      <c r="AC429">
        <v>0</v>
      </c>
      <c r="AD429">
        <v>0</v>
      </c>
      <c r="AE429">
        <v>323.13</v>
      </c>
      <c r="AF429">
        <v>0</v>
      </c>
      <c r="AG429">
        <v>0</v>
      </c>
      <c r="AH429">
        <v>0</v>
      </c>
      <c r="AI429">
        <v>6.13</v>
      </c>
      <c r="AJ429">
        <v>1</v>
      </c>
      <c r="AK429">
        <v>1</v>
      </c>
      <c r="AL429">
        <v>1</v>
      </c>
      <c r="AN429">
        <v>0</v>
      </c>
      <c r="AO429">
        <v>0</v>
      </c>
      <c r="AP429">
        <v>0</v>
      </c>
      <c r="AQ429">
        <v>0</v>
      </c>
      <c r="AR429">
        <v>0</v>
      </c>
      <c r="AS429" t="s">
        <v>3</v>
      </c>
      <c r="AT429">
        <v>10</v>
      </c>
      <c r="AU429" t="s">
        <v>3</v>
      </c>
      <c r="AV429">
        <v>0</v>
      </c>
      <c r="AW429">
        <v>1</v>
      </c>
      <c r="AX429">
        <v>-1</v>
      </c>
      <c r="AY429">
        <v>0</v>
      </c>
      <c r="AZ429">
        <v>0</v>
      </c>
      <c r="BA429" t="s">
        <v>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Y429*Source!I242</f>
        <v>1</v>
      </c>
      <c r="CY429">
        <f>AA429</f>
        <v>1980.79</v>
      </c>
      <c r="CZ429">
        <f>AE429</f>
        <v>323.13</v>
      </c>
      <c r="DA429">
        <f>AI429</f>
        <v>6.13</v>
      </c>
      <c r="DB429">
        <v>0</v>
      </c>
    </row>
    <row r="430" spans="1:106" x14ac:dyDescent="0.2">
      <c r="A430">
        <f>ROW(Source!A242)</f>
        <v>242</v>
      </c>
      <c r="B430">
        <v>39476960</v>
      </c>
      <c r="C430">
        <v>39478643</v>
      </c>
      <c r="D430">
        <v>36797778</v>
      </c>
      <c r="E430">
        <v>17</v>
      </c>
      <c r="F430">
        <v>1</v>
      </c>
      <c r="G430">
        <v>1</v>
      </c>
      <c r="H430">
        <v>3</v>
      </c>
      <c r="I430" t="s">
        <v>560</v>
      </c>
      <c r="J430" t="s">
        <v>3</v>
      </c>
      <c r="K430" t="s">
        <v>561</v>
      </c>
      <c r="L430">
        <v>1354</v>
      </c>
      <c r="N430">
        <v>1010</v>
      </c>
      <c r="O430" t="s">
        <v>415</v>
      </c>
      <c r="P430" t="s">
        <v>415</v>
      </c>
      <c r="Q430">
        <v>1</v>
      </c>
      <c r="W430">
        <v>0</v>
      </c>
      <c r="X430">
        <v>1124120566</v>
      </c>
      <c r="Y430">
        <v>10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6.13</v>
      </c>
      <c r="AJ430">
        <v>1</v>
      </c>
      <c r="AK430">
        <v>1</v>
      </c>
      <c r="AL430">
        <v>1</v>
      </c>
      <c r="AN430">
        <v>0</v>
      </c>
      <c r="AO430">
        <v>0</v>
      </c>
      <c r="AP430">
        <v>0</v>
      </c>
      <c r="AQ430">
        <v>0</v>
      </c>
      <c r="AR430">
        <v>0</v>
      </c>
      <c r="AS430" t="s">
        <v>3</v>
      </c>
      <c r="AT430">
        <v>10</v>
      </c>
      <c r="AU430" t="s">
        <v>3</v>
      </c>
      <c r="AV430">
        <v>0</v>
      </c>
      <c r="AW430">
        <v>2</v>
      </c>
      <c r="AX430">
        <v>39478650</v>
      </c>
      <c r="AY430">
        <v>1</v>
      </c>
      <c r="AZ430">
        <v>0</v>
      </c>
      <c r="BA430">
        <v>402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Y430*Source!I242</f>
        <v>1</v>
      </c>
      <c r="CY430">
        <f>AA430</f>
        <v>0</v>
      </c>
      <c r="CZ430">
        <f>AE430</f>
        <v>0</v>
      </c>
      <c r="DA430">
        <f>AI430</f>
        <v>6.13</v>
      </c>
      <c r="DB430">
        <v>0</v>
      </c>
    </row>
    <row r="431" spans="1:106" x14ac:dyDescent="0.2">
      <c r="A431">
        <f>ROW(Source!A245)</f>
        <v>245</v>
      </c>
      <c r="B431">
        <v>39476960</v>
      </c>
      <c r="C431">
        <v>39478654</v>
      </c>
      <c r="D431">
        <v>37071037</v>
      </c>
      <c r="E431">
        <v>1</v>
      </c>
      <c r="F431">
        <v>1</v>
      </c>
      <c r="G431">
        <v>1</v>
      </c>
      <c r="H431">
        <v>1</v>
      </c>
      <c r="I431" t="s">
        <v>992</v>
      </c>
      <c r="J431" t="s">
        <v>3</v>
      </c>
      <c r="K431" t="s">
        <v>993</v>
      </c>
      <c r="L431">
        <v>1191</v>
      </c>
      <c r="N431">
        <v>1013</v>
      </c>
      <c r="O431" t="s">
        <v>796</v>
      </c>
      <c r="P431" t="s">
        <v>796</v>
      </c>
      <c r="Q431">
        <v>1</v>
      </c>
      <c r="W431">
        <v>0</v>
      </c>
      <c r="X431">
        <v>1069510174</v>
      </c>
      <c r="Y431">
        <v>9.66</v>
      </c>
      <c r="AA431">
        <v>0</v>
      </c>
      <c r="AB431">
        <v>0</v>
      </c>
      <c r="AC431">
        <v>0</v>
      </c>
      <c r="AD431">
        <v>58.97</v>
      </c>
      <c r="AE431">
        <v>0</v>
      </c>
      <c r="AF431">
        <v>0</v>
      </c>
      <c r="AG431">
        <v>0</v>
      </c>
      <c r="AH431">
        <v>9.6199999999999992</v>
      </c>
      <c r="AI431">
        <v>1</v>
      </c>
      <c r="AJ431">
        <v>1</v>
      </c>
      <c r="AK431">
        <v>1</v>
      </c>
      <c r="AL431">
        <v>6.13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7</v>
      </c>
      <c r="AU431" t="s">
        <v>567</v>
      </c>
      <c r="AV431">
        <v>1</v>
      </c>
      <c r="AW431">
        <v>2</v>
      </c>
      <c r="AX431">
        <v>39478655</v>
      </c>
      <c r="AY431">
        <v>1</v>
      </c>
      <c r="AZ431">
        <v>0</v>
      </c>
      <c r="BA431">
        <v>403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Y431*Source!I245</f>
        <v>3.8640000000000003</v>
      </c>
      <c r="CY431">
        <f>AD431</f>
        <v>58.97</v>
      </c>
      <c r="CZ431">
        <f>AH431</f>
        <v>9.6199999999999992</v>
      </c>
      <c r="DA431">
        <f>AL431</f>
        <v>6.13</v>
      </c>
      <c r="DB431">
        <v>0</v>
      </c>
    </row>
    <row r="432" spans="1:106" x14ac:dyDescent="0.2">
      <c r="A432">
        <f>ROW(Source!A245)</f>
        <v>245</v>
      </c>
      <c r="B432">
        <v>39476960</v>
      </c>
      <c r="C432">
        <v>39478654</v>
      </c>
      <c r="D432">
        <v>36802469</v>
      </c>
      <c r="E432">
        <v>1</v>
      </c>
      <c r="F432">
        <v>1</v>
      </c>
      <c r="G432">
        <v>1</v>
      </c>
      <c r="H432">
        <v>3</v>
      </c>
      <c r="I432" t="s">
        <v>1197</v>
      </c>
      <c r="J432" t="s">
        <v>1198</v>
      </c>
      <c r="K432" t="s">
        <v>1199</v>
      </c>
      <c r="L432">
        <v>1346</v>
      </c>
      <c r="N432">
        <v>1009</v>
      </c>
      <c r="O432" t="s">
        <v>217</v>
      </c>
      <c r="P432" t="s">
        <v>217</v>
      </c>
      <c r="Q432">
        <v>1</v>
      </c>
      <c r="W432">
        <v>0</v>
      </c>
      <c r="X432">
        <v>-490687590</v>
      </c>
      <c r="Y432">
        <v>0.13</v>
      </c>
      <c r="AA432">
        <v>228.59</v>
      </c>
      <c r="AB432">
        <v>0</v>
      </c>
      <c r="AC432">
        <v>0</v>
      </c>
      <c r="AD432">
        <v>0</v>
      </c>
      <c r="AE432">
        <v>37.29</v>
      </c>
      <c r="AF432">
        <v>0</v>
      </c>
      <c r="AG432">
        <v>0</v>
      </c>
      <c r="AH432">
        <v>0</v>
      </c>
      <c r="AI432">
        <v>6.13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0.13</v>
      </c>
      <c r="AU432" t="s">
        <v>3</v>
      </c>
      <c r="AV432">
        <v>0</v>
      </c>
      <c r="AW432">
        <v>2</v>
      </c>
      <c r="AX432">
        <v>39478656</v>
      </c>
      <c r="AY432">
        <v>1</v>
      </c>
      <c r="AZ432">
        <v>0</v>
      </c>
      <c r="BA432">
        <v>404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Y432*Source!I245</f>
        <v>5.2000000000000005E-2</v>
      </c>
      <c r="CY432">
        <f t="shared" ref="CY432:CY441" si="57">AA432</f>
        <v>228.59</v>
      </c>
      <c r="CZ432">
        <f t="shared" ref="CZ432:CZ441" si="58">AE432</f>
        <v>37.29</v>
      </c>
      <c r="DA432">
        <f t="shared" ref="DA432:DA441" si="59">AI432</f>
        <v>6.13</v>
      </c>
      <c r="DB432">
        <v>0</v>
      </c>
    </row>
    <row r="433" spans="1:106" x14ac:dyDescent="0.2">
      <c r="A433">
        <f>ROW(Source!A245)</f>
        <v>245</v>
      </c>
      <c r="B433">
        <v>39476960</v>
      </c>
      <c r="C433">
        <v>39478654</v>
      </c>
      <c r="D433">
        <v>36797518</v>
      </c>
      <c r="E433">
        <v>17</v>
      </c>
      <c r="F433">
        <v>1</v>
      </c>
      <c r="G433">
        <v>1</v>
      </c>
      <c r="H433">
        <v>3</v>
      </c>
      <c r="I433" t="s">
        <v>592</v>
      </c>
      <c r="J433" t="s">
        <v>3</v>
      </c>
      <c r="K433" t="s">
        <v>593</v>
      </c>
      <c r="L433">
        <v>1358</v>
      </c>
      <c r="N433">
        <v>1010</v>
      </c>
      <c r="O433" t="s">
        <v>160</v>
      </c>
      <c r="P433" t="s">
        <v>160</v>
      </c>
      <c r="Q433">
        <v>10</v>
      </c>
      <c r="W433">
        <v>0</v>
      </c>
      <c r="X433">
        <v>488433216</v>
      </c>
      <c r="Y433">
        <v>2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6.13</v>
      </c>
      <c r="AJ433">
        <v>1</v>
      </c>
      <c r="AK433">
        <v>1</v>
      </c>
      <c r="AL433">
        <v>1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3</v>
      </c>
      <c r="AT433">
        <v>2</v>
      </c>
      <c r="AU433" t="s">
        <v>3</v>
      </c>
      <c r="AV433">
        <v>0</v>
      </c>
      <c r="AW433">
        <v>2</v>
      </c>
      <c r="AX433">
        <v>39478657</v>
      </c>
      <c r="AY433">
        <v>1</v>
      </c>
      <c r="AZ433">
        <v>0</v>
      </c>
      <c r="BA433">
        <v>405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Y433*Source!I245</f>
        <v>0.8</v>
      </c>
      <c r="CY433">
        <f t="shared" si="57"/>
        <v>0</v>
      </c>
      <c r="CZ433">
        <f t="shared" si="58"/>
        <v>0</v>
      </c>
      <c r="DA433">
        <f t="shared" si="59"/>
        <v>6.13</v>
      </c>
      <c r="DB433">
        <v>0</v>
      </c>
    </row>
    <row r="434" spans="1:106" x14ac:dyDescent="0.2">
      <c r="A434">
        <f>ROW(Source!A245)</f>
        <v>245</v>
      </c>
      <c r="B434">
        <v>39476960</v>
      </c>
      <c r="C434">
        <v>39478654</v>
      </c>
      <c r="D434">
        <v>36804575</v>
      </c>
      <c r="E434">
        <v>1</v>
      </c>
      <c r="F434">
        <v>1</v>
      </c>
      <c r="G434">
        <v>1</v>
      </c>
      <c r="H434">
        <v>3</v>
      </c>
      <c r="I434" t="s">
        <v>572</v>
      </c>
      <c r="J434" t="s">
        <v>574</v>
      </c>
      <c r="K434" t="s">
        <v>573</v>
      </c>
      <c r="L434">
        <v>1355</v>
      </c>
      <c r="N434">
        <v>1010</v>
      </c>
      <c r="O434" t="s">
        <v>429</v>
      </c>
      <c r="P434" t="s">
        <v>429</v>
      </c>
      <c r="Q434">
        <v>100</v>
      </c>
      <c r="W434">
        <v>0</v>
      </c>
      <c r="X434">
        <v>-1390362517</v>
      </c>
      <c r="Y434">
        <v>0.2</v>
      </c>
      <c r="AA434">
        <v>181.45</v>
      </c>
      <c r="AB434">
        <v>0</v>
      </c>
      <c r="AC434">
        <v>0</v>
      </c>
      <c r="AD434">
        <v>0</v>
      </c>
      <c r="AE434">
        <v>29.6</v>
      </c>
      <c r="AF434">
        <v>0</v>
      </c>
      <c r="AG434">
        <v>0</v>
      </c>
      <c r="AH434">
        <v>0</v>
      </c>
      <c r="AI434">
        <v>6.13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3</v>
      </c>
      <c r="AT434">
        <v>0.2</v>
      </c>
      <c r="AU434" t="s">
        <v>3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3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Y434*Source!I245</f>
        <v>8.0000000000000016E-2</v>
      </c>
      <c r="CY434">
        <f t="shared" si="57"/>
        <v>181.45</v>
      </c>
      <c r="CZ434">
        <f t="shared" si="58"/>
        <v>29.6</v>
      </c>
      <c r="DA434">
        <f t="shared" si="59"/>
        <v>6.13</v>
      </c>
      <c r="DB434">
        <v>0</v>
      </c>
    </row>
    <row r="435" spans="1:106" x14ac:dyDescent="0.2">
      <c r="A435">
        <f>ROW(Source!A245)</f>
        <v>245</v>
      </c>
      <c r="B435">
        <v>39476960</v>
      </c>
      <c r="C435">
        <v>39478654</v>
      </c>
      <c r="D435">
        <v>36838223</v>
      </c>
      <c r="E435">
        <v>1</v>
      </c>
      <c r="F435">
        <v>1</v>
      </c>
      <c r="G435">
        <v>1</v>
      </c>
      <c r="H435">
        <v>3</v>
      </c>
      <c r="I435" t="s">
        <v>1200</v>
      </c>
      <c r="J435" t="s">
        <v>1201</v>
      </c>
      <c r="K435" t="s">
        <v>1202</v>
      </c>
      <c r="L435">
        <v>1348</v>
      </c>
      <c r="N435">
        <v>1009</v>
      </c>
      <c r="O435" t="s">
        <v>34</v>
      </c>
      <c r="P435" t="s">
        <v>34</v>
      </c>
      <c r="Q435">
        <v>1000</v>
      </c>
      <c r="W435">
        <v>0</v>
      </c>
      <c r="X435">
        <v>570223526</v>
      </c>
      <c r="Y435">
        <v>2.5999999999999998E-4</v>
      </c>
      <c r="AA435">
        <v>92679.47</v>
      </c>
      <c r="AB435">
        <v>0</v>
      </c>
      <c r="AC435">
        <v>0</v>
      </c>
      <c r="AD435">
        <v>0</v>
      </c>
      <c r="AE435">
        <v>15119</v>
      </c>
      <c r="AF435">
        <v>0</v>
      </c>
      <c r="AG435">
        <v>0</v>
      </c>
      <c r="AH435">
        <v>0</v>
      </c>
      <c r="AI435">
        <v>6.13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2.5999999999999998E-4</v>
      </c>
      <c r="AU435" t="s">
        <v>3</v>
      </c>
      <c r="AV435">
        <v>0</v>
      </c>
      <c r="AW435">
        <v>2</v>
      </c>
      <c r="AX435">
        <v>39478659</v>
      </c>
      <c r="AY435">
        <v>1</v>
      </c>
      <c r="AZ435">
        <v>0</v>
      </c>
      <c r="BA435">
        <v>407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Y435*Source!I245</f>
        <v>1.0399999999999999E-4</v>
      </c>
      <c r="CY435">
        <f t="shared" si="57"/>
        <v>92679.47</v>
      </c>
      <c r="CZ435">
        <f t="shared" si="58"/>
        <v>15119</v>
      </c>
      <c r="DA435">
        <f t="shared" si="59"/>
        <v>6.13</v>
      </c>
      <c r="DB435">
        <v>0</v>
      </c>
    </row>
    <row r="436" spans="1:106" x14ac:dyDescent="0.2">
      <c r="A436">
        <f>ROW(Source!A245)</f>
        <v>245</v>
      </c>
      <c r="B436">
        <v>39476960</v>
      </c>
      <c r="C436">
        <v>39478654</v>
      </c>
      <c r="D436">
        <v>36838951</v>
      </c>
      <c r="E436">
        <v>1</v>
      </c>
      <c r="F436">
        <v>1</v>
      </c>
      <c r="G436">
        <v>1</v>
      </c>
      <c r="H436">
        <v>3</v>
      </c>
      <c r="I436" t="s">
        <v>1203</v>
      </c>
      <c r="J436" t="s">
        <v>1204</v>
      </c>
      <c r="K436" t="s">
        <v>1205</v>
      </c>
      <c r="L436">
        <v>1348</v>
      </c>
      <c r="N436">
        <v>1009</v>
      </c>
      <c r="O436" t="s">
        <v>34</v>
      </c>
      <c r="P436" t="s">
        <v>34</v>
      </c>
      <c r="Q436">
        <v>1000</v>
      </c>
      <c r="W436">
        <v>0</v>
      </c>
      <c r="X436">
        <v>-909021926</v>
      </c>
      <c r="Y436">
        <v>1.2999999999999999E-4</v>
      </c>
      <c r="AA436">
        <v>103903.5</v>
      </c>
      <c r="AB436">
        <v>0</v>
      </c>
      <c r="AC436">
        <v>0</v>
      </c>
      <c r="AD436">
        <v>0</v>
      </c>
      <c r="AE436">
        <v>16950</v>
      </c>
      <c r="AF436">
        <v>0</v>
      </c>
      <c r="AG436">
        <v>0</v>
      </c>
      <c r="AH436">
        <v>0</v>
      </c>
      <c r="AI436">
        <v>6.13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1.2999999999999999E-4</v>
      </c>
      <c r="AU436" t="s">
        <v>3</v>
      </c>
      <c r="AV436">
        <v>0</v>
      </c>
      <c r="AW436">
        <v>2</v>
      </c>
      <c r="AX436">
        <v>39478660</v>
      </c>
      <c r="AY436">
        <v>1</v>
      </c>
      <c r="AZ436">
        <v>0</v>
      </c>
      <c r="BA436">
        <v>408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Y436*Source!I245</f>
        <v>5.1999999999999997E-5</v>
      </c>
      <c r="CY436">
        <f t="shared" si="57"/>
        <v>103903.5</v>
      </c>
      <c r="CZ436">
        <f t="shared" si="58"/>
        <v>16950</v>
      </c>
      <c r="DA436">
        <f t="shared" si="59"/>
        <v>6.13</v>
      </c>
      <c r="DB436">
        <v>0</v>
      </c>
    </row>
    <row r="437" spans="1:106" x14ac:dyDescent="0.2">
      <c r="A437">
        <f>ROW(Source!A245)</f>
        <v>245</v>
      </c>
      <c r="B437">
        <v>39476960</v>
      </c>
      <c r="C437">
        <v>39478654</v>
      </c>
      <c r="D437">
        <v>36797714</v>
      </c>
      <c r="E437">
        <v>17</v>
      </c>
      <c r="F437">
        <v>1</v>
      </c>
      <c r="G437">
        <v>1</v>
      </c>
      <c r="H437">
        <v>3</v>
      </c>
      <c r="I437" t="s">
        <v>595</v>
      </c>
      <c r="J437" t="s">
        <v>3</v>
      </c>
      <c r="K437" t="s">
        <v>596</v>
      </c>
      <c r="L437">
        <v>1354</v>
      </c>
      <c r="N437">
        <v>1010</v>
      </c>
      <c r="O437" t="s">
        <v>415</v>
      </c>
      <c r="P437" t="s">
        <v>415</v>
      </c>
      <c r="Q437">
        <v>1</v>
      </c>
      <c r="W437">
        <v>0</v>
      </c>
      <c r="X437">
        <v>-1335221296</v>
      </c>
      <c r="Y437">
        <v>10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6.13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3</v>
      </c>
      <c r="AT437">
        <v>10</v>
      </c>
      <c r="AU437" t="s">
        <v>3</v>
      </c>
      <c r="AV437">
        <v>0</v>
      </c>
      <c r="AW437">
        <v>2</v>
      </c>
      <c r="AX437">
        <v>39478661</v>
      </c>
      <c r="AY437">
        <v>1</v>
      </c>
      <c r="AZ437">
        <v>0</v>
      </c>
      <c r="BA437">
        <v>409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Y437*Source!I245</f>
        <v>4</v>
      </c>
      <c r="CY437">
        <f t="shared" si="57"/>
        <v>0</v>
      </c>
      <c r="CZ437">
        <f t="shared" si="58"/>
        <v>0</v>
      </c>
      <c r="DA437">
        <f t="shared" si="59"/>
        <v>6.13</v>
      </c>
      <c r="DB437">
        <v>0</v>
      </c>
    </row>
    <row r="438" spans="1:106" x14ac:dyDescent="0.2">
      <c r="A438">
        <f>ROW(Source!A245)</f>
        <v>245</v>
      </c>
      <c r="B438">
        <v>39476960</v>
      </c>
      <c r="C438">
        <v>39478654</v>
      </c>
      <c r="D438">
        <v>36845793</v>
      </c>
      <c r="E438">
        <v>1</v>
      </c>
      <c r="F438">
        <v>1</v>
      </c>
      <c r="G438">
        <v>1</v>
      </c>
      <c r="H438">
        <v>3</v>
      </c>
      <c r="I438" t="s">
        <v>576</v>
      </c>
      <c r="J438" t="s">
        <v>578</v>
      </c>
      <c r="K438" t="s">
        <v>577</v>
      </c>
      <c r="L438">
        <v>1035</v>
      </c>
      <c r="N438">
        <v>1013</v>
      </c>
      <c r="O438" t="s">
        <v>152</v>
      </c>
      <c r="P438" t="s">
        <v>152</v>
      </c>
      <c r="Q438">
        <v>1</v>
      </c>
      <c r="W438">
        <v>0</v>
      </c>
      <c r="X438">
        <v>-2141538427</v>
      </c>
      <c r="Y438">
        <v>2.5</v>
      </c>
      <c r="AA438">
        <v>732.96</v>
      </c>
      <c r="AB438">
        <v>0</v>
      </c>
      <c r="AC438">
        <v>0</v>
      </c>
      <c r="AD438">
        <v>0</v>
      </c>
      <c r="AE438">
        <v>119.57</v>
      </c>
      <c r="AF438">
        <v>0</v>
      </c>
      <c r="AG438">
        <v>0</v>
      </c>
      <c r="AH438">
        <v>0</v>
      </c>
      <c r="AI438">
        <v>6.13</v>
      </c>
      <c r="AJ438">
        <v>1</v>
      </c>
      <c r="AK438">
        <v>1</v>
      </c>
      <c r="AL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3</v>
      </c>
      <c r="AT438">
        <v>2.5</v>
      </c>
      <c r="AU438" t="s">
        <v>3</v>
      </c>
      <c r="AV438">
        <v>0</v>
      </c>
      <c r="AW438">
        <v>1</v>
      </c>
      <c r="AX438">
        <v>-1</v>
      </c>
      <c r="AY438">
        <v>0</v>
      </c>
      <c r="AZ438">
        <v>0</v>
      </c>
      <c r="BA438" t="s">
        <v>3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Y438*Source!I245</f>
        <v>1</v>
      </c>
      <c r="CY438">
        <f t="shared" si="57"/>
        <v>732.96</v>
      </c>
      <c r="CZ438">
        <f t="shared" si="58"/>
        <v>119.57</v>
      </c>
      <c r="DA438">
        <f t="shared" si="59"/>
        <v>6.13</v>
      </c>
      <c r="DB438">
        <v>0</v>
      </c>
    </row>
    <row r="439" spans="1:106" x14ac:dyDescent="0.2">
      <c r="A439">
        <f>ROW(Source!A245)</f>
        <v>245</v>
      </c>
      <c r="B439">
        <v>39476960</v>
      </c>
      <c r="C439">
        <v>39478654</v>
      </c>
      <c r="D439">
        <v>36845801</v>
      </c>
      <c r="E439">
        <v>1</v>
      </c>
      <c r="F439">
        <v>1</v>
      </c>
      <c r="G439">
        <v>1</v>
      </c>
      <c r="H439">
        <v>3</v>
      </c>
      <c r="I439" t="s">
        <v>584</v>
      </c>
      <c r="J439" t="s">
        <v>586</v>
      </c>
      <c r="K439" t="s">
        <v>585</v>
      </c>
      <c r="L439">
        <v>1035</v>
      </c>
      <c r="N439">
        <v>1013</v>
      </c>
      <c r="O439" t="s">
        <v>152</v>
      </c>
      <c r="P439" t="s">
        <v>152</v>
      </c>
      <c r="Q439">
        <v>1</v>
      </c>
      <c r="W439">
        <v>0</v>
      </c>
      <c r="X439">
        <v>-518659730</v>
      </c>
      <c r="Y439">
        <v>2.5</v>
      </c>
      <c r="AA439">
        <v>534.35</v>
      </c>
      <c r="AB439">
        <v>0</v>
      </c>
      <c r="AC439">
        <v>0</v>
      </c>
      <c r="AD439">
        <v>0</v>
      </c>
      <c r="AE439">
        <v>87.17</v>
      </c>
      <c r="AF439">
        <v>0</v>
      </c>
      <c r="AG439">
        <v>0</v>
      </c>
      <c r="AH439">
        <v>0</v>
      </c>
      <c r="AI439">
        <v>6.13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3</v>
      </c>
      <c r="AT439">
        <v>2.5</v>
      </c>
      <c r="AU439" t="s">
        <v>3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Y439*Source!I245</f>
        <v>1</v>
      </c>
      <c r="CY439">
        <f t="shared" si="57"/>
        <v>534.35</v>
      </c>
      <c r="CZ439">
        <f t="shared" si="58"/>
        <v>87.17</v>
      </c>
      <c r="DA439">
        <f t="shared" si="59"/>
        <v>6.13</v>
      </c>
      <c r="DB439">
        <v>0</v>
      </c>
    </row>
    <row r="440" spans="1:106" x14ac:dyDescent="0.2">
      <c r="A440">
        <f>ROW(Source!A245)</f>
        <v>245</v>
      </c>
      <c r="B440">
        <v>39476960</v>
      </c>
      <c r="C440">
        <v>39478654</v>
      </c>
      <c r="D440">
        <v>36845810</v>
      </c>
      <c r="E440">
        <v>1</v>
      </c>
      <c r="F440">
        <v>1</v>
      </c>
      <c r="G440">
        <v>1</v>
      </c>
      <c r="H440">
        <v>3</v>
      </c>
      <c r="I440" t="s">
        <v>580</v>
      </c>
      <c r="J440" t="s">
        <v>582</v>
      </c>
      <c r="K440" t="s">
        <v>581</v>
      </c>
      <c r="L440">
        <v>1354</v>
      </c>
      <c r="N440">
        <v>1010</v>
      </c>
      <c r="O440" t="s">
        <v>415</v>
      </c>
      <c r="P440" t="s">
        <v>415</v>
      </c>
      <c r="Q440">
        <v>1</v>
      </c>
      <c r="W440">
        <v>0</v>
      </c>
      <c r="X440">
        <v>-670089820</v>
      </c>
      <c r="Y440">
        <v>5</v>
      </c>
      <c r="AA440">
        <v>876.59</v>
      </c>
      <c r="AB440">
        <v>0</v>
      </c>
      <c r="AC440">
        <v>0</v>
      </c>
      <c r="AD440">
        <v>0</v>
      </c>
      <c r="AE440">
        <v>143</v>
      </c>
      <c r="AF440">
        <v>0</v>
      </c>
      <c r="AG440">
        <v>0</v>
      </c>
      <c r="AH440">
        <v>0</v>
      </c>
      <c r="AI440">
        <v>6.13</v>
      </c>
      <c r="AJ440">
        <v>1</v>
      </c>
      <c r="AK440">
        <v>1</v>
      </c>
      <c r="AL440">
        <v>1</v>
      </c>
      <c r="AN440">
        <v>0</v>
      </c>
      <c r="AO440">
        <v>0</v>
      </c>
      <c r="AP440">
        <v>0</v>
      </c>
      <c r="AQ440">
        <v>0</v>
      </c>
      <c r="AR440">
        <v>0</v>
      </c>
      <c r="AS440" t="s">
        <v>3</v>
      </c>
      <c r="AT440">
        <v>5</v>
      </c>
      <c r="AU440" t="s">
        <v>3</v>
      </c>
      <c r="AV440">
        <v>0</v>
      </c>
      <c r="AW440">
        <v>1</v>
      </c>
      <c r="AX440">
        <v>-1</v>
      </c>
      <c r="AY440">
        <v>0</v>
      </c>
      <c r="AZ440">
        <v>0</v>
      </c>
      <c r="BA440" t="s">
        <v>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Y440*Source!I245</f>
        <v>2</v>
      </c>
      <c r="CY440">
        <f t="shared" si="57"/>
        <v>876.59</v>
      </c>
      <c r="CZ440">
        <f t="shared" si="58"/>
        <v>143</v>
      </c>
      <c r="DA440">
        <f t="shared" si="59"/>
        <v>6.13</v>
      </c>
      <c r="DB440">
        <v>0</v>
      </c>
    </row>
    <row r="441" spans="1:106" x14ac:dyDescent="0.2">
      <c r="A441">
        <f>ROW(Source!A245)</f>
        <v>245</v>
      </c>
      <c r="B441">
        <v>39476960</v>
      </c>
      <c r="C441">
        <v>39478654</v>
      </c>
      <c r="D441">
        <v>36846448</v>
      </c>
      <c r="E441">
        <v>1</v>
      </c>
      <c r="F441">
        <v>1</v>
      </c>
      <c r="G441">
        <v>1</v>
      </c>
      <c r="H441">
        <v>3</v>
      </c>
      <c r="I441" t="s">
        <v>588</v>
      </c>
      <c r="J441" t="s">
        <v>590</v>
      </c>
      <c r="K441" t="s">
        <v>589</v>
      </c>
      <c r="L441">
        <v>1358</v>
      </c>
      <c r="N441">
        <v>1010</v>
      </c>
      <c r="O441" t="s">
        <v>160</v>
      </c>
      <c r="P441" t="s">
        <v>160</v>
      </c>
      <c r="Q441">
        <v>10</v>
      </c>
      <c r="W441">
        <v>0</v>
      </c>
      <c r="X441">
        <v>-62785007</v>
      </c>
      <c r="Y441">
        <v>2</v>
      </c>
      <c r="AA441">
        <v>982.03</v>
      </c>
      <c r="AB441">
        <v>0</v>
      </c>
      <c r="AC441">
        <v>0</v>
      </c>
      <c r="AD441">
        <v>0</v>
      </c>
      <c r="AE441">
        <v>160.19999999999999</v>
      </c>
      <c r="AF441">
        <v>0</v>
      </c>
      <c r="AG441">
        <v>0</v>
      </c>
      <c r="AH441">
        <v>0</v>
      </c>
      <c r="AI441">
        <v>6.13</v>
      </c>
      <c r="AJ441">
        <v>1</v>
      </c>
      <c r="AK441">
        <v>1</v>
      </c>
      <c r="AL441">
        <v>1</v>
      </c>
      <c r="AN441">
        <v>0</v>
      </c>
      <c r="AO441">
        <v>0</v>
      </c>
      <c r="AP441">
        <v>0</v>
      </c>
      <c r="AQ441">
        <v>0</v>
      </c>
      <c r="AR441">
        <v>0</v>
      </c>
      <c r="AS441" t="s">
        <v>3</v>
      </c>
      <c r="AT441">
        <v>2</v>
      </c>
      <c r="AU441" t="s">
        <v>3</v>
      </c>
      <c r="AV441">
        <v>0</v>
      </c>
      <c r="AW441">
        <v>1</v>
      </c>
      <c r="AX441">
        <v>-1</v>
      </c>
      <c r="AY441">
        <v>0</v>
      </c>
      <c r="AZ441">
        <v>0</v>
      </c>
      <c r="BA441" t="s">
        <v>3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Y441*Source!I245</f>
        <v>0.8</v>
      </c>
      <c r="CY441">
        <f t="shared" si="57"/>
        <v>982.03</v>
      </c>
      <c r="CZ441">
        <f t="shared" si="58"/>
        <v>160.19999999999999</v>
      </c>
      <c r="DA441">
        <f t="shared" si="59"/>
        <v>6.13</v>
      </c>
      <c r="DB441">
        <v>0</v>
      </c>
    </row>
    <row r="442" spans="1:106" x14ac:dyDescent="0.2">
      <c r="A442">
        <f>ROW(Source!A253)</f>
        <v>253</v>
      </c>
      <c r="B442">
        <v>39476960</v>
      </c>
      <c r="C442">
        <v>39478679</v>
      </c>
      <c r="D442">
        <v>37070244</v>
      </c>
      <c r="E442">
        <v>1</v>
      </c>
      <c r="F442">
        <v>1</v>
      </c>
      <c r="G442">
        <v>1</v>
      </c>
      <c r="H442">
        <v>1</v>
      </c>
      <c r="I442" t="s">
        <v>1206</v>
      </c>
      <c r="J442" t="s">
        <v>3</v>
      </c>
      <c r="K442" t="s">
        <v>1207</v>
      </c>
      <c r="L442">
        <v>1191</v>
      </c>
      <c r="N442">
        <v>1013</v>
      </c>
      <c r="O442" t="s">
        <v>796</v>
      </c>
      <c r="P442" t="s">
        <v>796</v>
      </c>
      <c r="Q442">
        <v>1</v>
      </c>
      <c r="W442">
        <v>0</v>
      </c>
      <c r="X442">
        <v>1627947075</v>
      </c>
      <c r="Y442">
        <v>2.09</v>
      </c>
      <c r="AA442">
        <v>0</v>
      </c>
      <c r="AB442">
        <v>0</v>
      </c>
      <c r="AC442">
        <v>0</v>
      </c>
      <c r="AD442">
        <v>63.45</v>
      </c>
      <c r="AE442">
        <v>0</v>
      </c>
      <c r="AF442">
        <v>0</v>
      </c>
      <c r="AG442">
        <v>0</v>
      </c>
      <c r="AH442">
        <v>10.35</v>
      </c>
      <c r="AI442">
        <v>1</v>
      </c>
      <c r="AJ442">
        <v>1</v>
      </c>
      <c r="AK442">
        <v>1</v>
      </c>
      <c r="AL442">
        <v>6.13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2.09</v>
      </c>
      <c r="AU442" t="s">
        <v>3</v>
      </c>
      <c r="AV442">
        <v>1</v>
      </c>
      <c r="AW442">
        <v>2</v>
      </c>
      <c r="AX442">
        <v>39478680</v>
      </c>
      <c r="AY442">
        <v>1</v>
      </c>
      <c r="AZ442">
        <v>0</v>
      </c>
      <c r="BA442">
        <v>410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Y442*Source!I253</f>
        <v>6.27</v>
      </c>
      <c r="CY442">
        <f>AD442</f>
        <v>63.45</v>
      </c>
      <c r="CZ442">
        <f>AH442</f>
        <v>10.35</v>
      </c>
      <c r="DA442">
        <f>AL442</f>
        <v>6.13</v>
      </c>
      <c r="DB442">
        <v>0</v>
      </c>
    </row>
    <row r="443" spans="1:106" x14ac:dyDescent="0.2">
      <c r="A443">
        <f>ROW(Source!A253)</f>
        <v>253</v>
      </c>
      <c r="B443">
        <v>39476960</v>
      </c>
      <c r="C443">
        <v>39478679</v>
      </c>
      <c r="D443">
        <v>36883858</v>
      </c>
      <c r="E443">
        <v>1</v>
      </c>
      <c r="F443">
        <v>1</v>
      </c>
      <c r="G443">
        <v>1</v>
      </c>
      <c r="H443">
        <v>2</v>
      </c>
      <c r="I443" t="s">
        <v>1139</v>
      </c>
      <c r="J443" t="s">
        <v>1140</v>
      </c>
      <c r="K443" t="s">
        <v>1141</v>
      </c>
      <c r="L443">
        <v>1368</v>
      </c>
      <c r="N443">
        <v>1011</v>
      </c>
      <c r="O443" t="s">
        <v>802</v>
      </c>
      <c r="P443" t="s">
        <v>802</v>
      </c>
      <c r="Q443">
        <v>1</v>
      </c>
      <c r="W443">
        <v>0</v>
      </c>
      <c r="X443">
        <v>-353815937</v>
      </c>
      <c r="Y443">
        <v>0.06</v>
      </c>
      <c r="AA443">
        <v>0</v>
      </c>
      <c r="AB443">
        <v>49.65</v>
      </c>
      <c r="AC443">
        <v>0</v>
      </c>
      <c r="AD443">
        <v>0</v>
      </c>
      <c r="AE443">
        <v>0</v>
      </c>
      <c r="AF443">
        <v>8.1</v>
      </c>
      <c r="AG443">
        <v>0</v>
      </c>
      <c r="AH443">
        <v>0</v>
      </c>
      <c r="AI443">
        <v>1</v>
      </c>
      <c r="AJ443">
        <v>6.13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0.06</v>
      </c>
      <c r="AU443" t="s">
        <v>3</v>
      </c>
      <c r="AV443">
        <v>0</v>
      </c>
      <c r="AW443">
        <v>2</v>
      </c>
      <c r="AX443">
        <v>39478681</v>
      </c>
      <c r="AY443">
        <v>1</v>
      </c>
      <c r="AZ443">
        <v>0</v>
      </c>
      <c r="BA443">
        <v>411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Y443*Source!I253</f>
        <v>0.18</v>
      </c>
      <c r="CY443">
        <f>AB443</f>
        <v>49.65</v>
      </c>
      <c r="CZ443">
        <f>AF443</f>
        <v>8.1</v>
      </c>
      <c r="DA443">
        <f>AJ443</f>
        <v>6.13</v>
      </c>
      <c r="DB443">
        <v>0</v>
      </c>
    </row>
    <row r="444" spans="1:106" x14ac:dyDescent="0.2">
      <c r="A444">
        <f>ROW(Source!A253)</f>
        <v>253</v>
      </c>
      <c r="B444">
        <v>39476960</v>
      </c>
      <c r="C444">
        <v>39478679</v>
      </c>
      <c r="D444">
        <v>36884526</v>
      </c>
      <c r="E444">
        <v>1</v>
      </c>
      <c r="F444">
        <v>1</v>
      </c>
      <c r="G444">
        <v>1</v>
      </c>
      <c r="H444">
        <v>2</v>
      </c>
      <c r="I444" t="s">
        <v>1208</v>
      </c>
      <c r="J444" t="s">
        <v>1209</v>
      </c>
      <c r="K444" t="s">
        <v>1210</v>
      </c>
      <c r="L444">
        <v>1368</v>
      </c>
      <c r="N444">
        <v>1011</v>
      </c>
      <c r="O444" t="s">
        <v>802</v>
      </c>
      <c r="P444" t="s">
        <v>802</v>
      </c>
      <c r="Q444">
        <v>1</v>
      </c>
      <c r="W444">
        <v>0</v>
      </c>
      <c r="X444">
        <v>-995250510</v>
      </c>
      <c r="Y444">
        <v>0.09</v>
      </c>
      <c r="AA444">
        <v>0</v>
      </c>
      <c r="AB444">
        <v>6.8</v>
      </c>
      <c r="AC444">
        <v>0</v>
      </c>
      <c r="AD444">
        <v>0</v>
      </c>
      <c r="AE444">
        <v>0</v>
      </c>
      <c r="AF444">
        <v>1.1100000000000001</v>
      </c>
      <c r="AG444">
        <v>0</v>
      </c>
      <c r="AH444">
        <v>0</v>
      </c>
      <c r="AI444">
        <v>1</v>
      </c>
      <c r="AJ444">
        <v>6.13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0.09</v>
      </c>
      <c r="AU444" t="s">
        <v>3</v>
      </c>
      <c r="AV444">
        <v>0</v>
      </c>
      <c r="AW444">
        <v>2</v>
      </c>
      <c r="AX444">
        <v>39478682</v>
      </c>
      <c r="AY444">
        <v>1</v>
      </c>
      <c r="AZ444">
        <v>0</v>
      </c>
      <c r="BA444">
        <v>412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Y444*Source!I253</f>
        <v>0.27</v>
      </c>
      <c r="CY444">
        <f>AB444</f>
        <v>6.8</v>
      </c>
      <c r="CZ444">
        <f>AF444</f>
        <v>1.1100000000000001</v>
      </c>
      <c r="DA444">
        <f>AJ444</f>
        <v>6.13</v>
      </c>
      <c r="DB444">
        <v>0</v>
      </c>
    </row>
    <row r="445" spans="1:106" x14ac:dyDescent="0.2">
      <c r="A445">
        <f>ROW(Source!A253)</f>
        <v>253</v>
      </c>
      <c r="B445">
        <v>39476960</v>
      </c>
      <c r="C445">
        <v>39478679</v>
      </c>
      <c r="D445">
        <v>36800043</v>
      </c>
      <c r="E445">
        <v>1</v>
      </c>
      <c r="F445">
        <v>1</v>
      </c>
      <c r="G445">
        <v>1</v>
      </c>
      <c r="H445">
        <v>3</v>
      </c>
      <c r="I445" t="s">
        <v>1142</v>
      </c>
      <c r="J445" t="s">
        <v>1143</v>
      </c>
      <c r="K445" t="s">
        <v>1144</v>
      </c>
      <c r="L445">
        <v>1346</v>
      </c>
      <c r="N445">
        <v>1009</v>
      </c>
      <c r="O445" t="s">
        <v>217</v>
      </c>
      <c r="P445" t="s">
        <v>217</v>
      </c>
      <c r="Q445">
        <v>1</v>
      </c>
      <c r="W445">
        <v>0</v>
      </c>
      <c r="X445">
        <v>618806536</v>
      </c>
      <c r="Y445">
        <v>6.0000000000000001E-3</v>
      </c>
      <c r="AA445">
        <v>275.67</v>
      </c>
      <c r="AB445">
        <v>0</v>
      </c>
      <c r="AC445">
        <v>0</v>
      </c>
      <c r="AD445">
        <v>0</v>
      </c>
      <c r="AE445">
        <v>44.97</v>
      </c>
      <c r="AF445">
        <v>0</v>
      </c>
      <c r="AG445">
        <v>0</v>
      </c>
      <c r="AH445">
        <v>0</v>
      </c>
      <c r="AI445">
        <v>6.13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6.0000000000000001E-3</v>
      </c>
      <c r="AU445" t="s">
        <v>3</v>
      </c>
      <c r="AV445">
        <v>0</v>
      </c>
      <c r="AW445">
        <v>2</v>
      </c>
      <c r="AX445">
        <v>39478683</v>
      </c>
      <c r="AY445">
        <v>1</v>
      </c>
      <c r="AZ445">
        <v>0</v>
      </c>
      <c r="BA445">
        <v>413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Y445*Source!I253</f>
        <v>1.8000000000000002E-2</v>
      </c>
      <c r="CY445">
        <f t="shared" ref="CY445:CY457" si="60">AA445</f>
        <v>275.67</v>
      </c>
      <c r="CZ445">
        <f t="shared" ref="CZ445:CZ457" si="61">AE445</f>
        <v>44.97</v>
      </c>
      <c r="DA445">
        <f t="shared" ref="DA445:DA457" si="62">AI445</f>
        <v>6.13</v>
      </c>
      <c r="DB445">
        <v>0</v>
      </c>
    </row>
    <row r="446" spans="1:106" x14ac:dyDescent="0.2">
      <c r="A446">
        <f>ROW(Source!A253)</f>
        <v>253</v>
      </c>
      <c r="B446">
        <v>39476960</v>
      </c>
      <c r="C446">
        <v>39478679</v>
      </c>
      <c r="D446">
        <v>36801775</v>
      </c>
      <c r="E446">
        <v>1</v>
      </c>
      <c r="F446">
        <v>1</v>
      </c>
      <c r="G446">
        <v>1</v>
      </c>
      <c r="H446">
        <v>3</v>
      </c>
      <c r="I446" t="s">
        <v>1145</v>
      </c>
      <c r="J446" t="s">
        <v>1146</v>
      </c>
      <c r="K446" t="s">
        <v>1147</v>
      </c>
      <c r="L446">
        <v>1346</v>
      </c>
      <c r="N446">
        <v>1009</v>
      </c>
      <c r="O446" t="s">
        <v>217</v>
      </c>
      <c r="P446" t="s">
        <v>217</v>
      </c>
      <c r="Q446">
        <v>1</v>
      </c>
      <c r="W446">
        <v>0</v>
      </c>
      <c r="X446">
        <v>56922527</v>
      </c>
      <c r="Y446">
        <v>2E-3</v>
      </c>
      <c r="AA446">
        <v>70.5</v>
      </c>
      <c r="AB446">
        <v>0</v>
      </c>
      <c r="AC446">
        <v>0</v>
      </c>
      <c r="AD446">
        <v>0</v>
      </c>
      <c r="AE446">
        <v>11.5</v>
      </c>
      <c r="AF446">
        <v>0</v>
      </c>
      <c r="AG446">
        <v>0</v>
      </c>
      <c r="AH446">
        <v>0</v>
      </c>
      <c r="AI446">
        <v>6.13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2E-3</v>
      </c>
      <c r="AU446" t="s">
        <v>3</v>
      </c>
      <c r="AV446">
        <v>0</v>
      </c>
      <c r="AW446">
        <v>2</v>
      </c>
      <c r="AX446">
        <v>39478684</v>
      </c>
      <c r="AY446">
        <v>1</v>
      </c>
      <c r="AZ446">
        <v>0</v>
      </c>
      <c r="BA446">
        <v>414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Y446*Source!I253</f>
        <v>6.0000000000000001E-3</v>
      </c>
      <c r="CY446">
        <f t="shared" si="60"/>
        <v>70.5</v>
      </c>
      <c r="CZ446">
        <f t="shared" si="61"/>
        <v>11.5</v>
      </c>
      <c r="DA446">
        <f t="shared" si="62"/>
        <v>6.13</v>
      </c>
      <c r="DB446">
        <v>0</v>
      </c>
    </row>
    <row r="447" spans="1:106" x14ac:dyDescent="0.2">
      <c r="A447">
        <f>ROW(Source!A253)</f>
        <v>253</v>
      </c>
      <c r="B447">
        <v>39476960</v>
      </c>
      <c r="C447">
        <v>39478679</v>
      </c>
      <c r="D447">
        <v>36802094</v>
      </c>
      <c r="E447">
        <v>1</v>
      </c>
      <c r="F447">
        <v>1</v>
      </c>
      <c r="G447">
        <v>1</v>
      </c>
      <c r="H447">
        <v>3</v>
      </c>
      <c r="I447" t="s">
        <v>1084</v>
      </c>
      <c r="J447" t="s">
        <v>1085</v>
      </c>
      <c r="K447" t="s">
        <v>1086</v>
      </c>
      <c r="L447">
        <v>1346</v>
      </c>
      <c r="N447">
        <v>1009</v>
      </c>
      <c r="O447" t="s">
        <v>217</v>
      </c>
      <c r="P447" t="s">
        <v>217</v>
      </c>
      <c r="Q447">
        <v>1</v>
      </c>
      <c r="W447">
        <v>0</v>
      </c>
      <c r="X447">
        <v>-1088866022</v>
      </c>
      <c r="Y447">
        <v>2.4E-2</v>
      </c>
      <c r="AA447">
        <v>186.35</v>
      </c>
      <c r="AB447">
        <v>0</v>
      </c>
      <c r="AC447">
        <v>0</v>
      </c>
      <c r="AD447">
        <v>0</v>
      </c>
      <c r="AE447">
        <v>30.4</v>
      </c>
      <c r="AF447">
        <v>0</v>
      </c>
      <c r="AG447">
        <v>0</v>
      </c>
      <c r="AH447">
        <v>0</v>
      </c>
      <c r="AI447">
        <v>6.13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2.4E-2</v>
      </c>
      <c r="AU447" t="s">
        <v>3</v>
      </c>
      <c r="AV447">
        <v>0</v>
      </c>
      <c r="AW447">
        <v>2</v>
      </c>
      <c r="AX447">
        <v>39478685</v>
      </c>
      <c r="AY447">
        <v>1</v>
      </c>
      <c r="AZ447">
        <v>0</v>
      </c>
      <c r="BA447">
        <v>415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Y447*Source!I253</f>
        <v>7.2000000000000008E-2</v>
      </c>
      <c r="CY447">
        <f t="shared" si="60"/>
        <v>186.35</v>
      </c>
      <c r="CZ447">
        <f t="shared" si="61"/>
        <v>30.4</v>
      </c>
      <c r="DA447">
        <f t="shared" si="62"/>
        <v>6.13</v>
      </c>
      <c r="DB447">
        <v>0</v>
      </c>
    </row>
    <row r="448" spans="1:106" x14ac:dyDescent="0.2">
      <c r="A448">
        <f>ROW(Source!A253)</f>
        <v>253</v>
      </c>
      <c r="B448">
        <v>39476960</v>
      </c>
      <c r="C448">
        <v>39478679</v>
      </c>
      <c r="D448">
        <v>36803258</v>
      </c>
      <c r="E448">
        <v>1</v>
      </c>
      <c r="F448">
        <v>1</v>
      </c>
      <c r="G448">
        <v>1</v>
      </c>
      <c r="H448">
        <v>3</v>
      </c>
      <c r="I448" t="s">
        <v>1148</v>
      </c>
      <c r="J448" t="s">
        <v>1149</v>
      </c>
      <c r="K448" t="s">
        <v>1150</v>
      </c>
      <c r="L448">
        <v>1346</v>
      </c>
      <c r="N448">
        <v>1009</v>
      </c>
      <c r="O448" t="s">
        <v>217</v>
      </c>
      <c r="P448" t="s">
        <v>217</v>
      </c>
      <c r="Q448">
        <v>1</v>
      </c>
      <c r="W448">
        <v>0</v>
      </c>
      <c r="X448">
        <v>586013393</v>
      </c>
      <c r="Y448">
        <v>7.0000000000000007E-2</v>
      </c>
      <c r="AA448">
        <v>64.790000000000006</v>
      </c>
      <c r="AB448">
        <v>0</v>
      </c>
      <c r="AC448">
        <v>0</v>
      </c>
      <c r="AD448">
        <v>0</v>
      </c>
      <c r="AE448">
        <v>10.57</v>
      </c>
      <c r="AF448">
        <v>0</v>
      </c>
      <c r="AG448">
        <v>0</v>
      </c>
      <c r="AH448">
        <v>0</v>
      </c>
      <c r="AI448">
        <v>6.13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7.0000000000000007E-2</v>
      </c>
      <c r="AU448" t="s">
        <v>3</v>
      </c>
      <c r="AV448">
        <v>0</v>
      </c>
      <c r="AW448">
        <v>2</v>
      </c>
      <c r="AX448">
        <v>39478686</v>
      </c>
      <c r="AY448">
        <v>1</v>
      </c>
      <c r="AZ448">
        <v>0</v>
      </c>
      <c r="BA448">
        <v>416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Y448*Source!I253</f>
        <v>0.21000000000000002</v>
      </c>
      <c r="CY448">
        <f t="shared" si="60"/>
        <v>64.790000000000006</v>
      </c>
      <c r="CZ448">
        <f t="shared" si="61"/>
        <v>10.57</v>
      </c>
      <c r="DA448">
        <f t="shared" si="62"/>
        <v>6.13</v>
      </c>
      <c r="DB448">
        <v>0</v>
      </c>
    </row>
    <row r="449" spans="1:106" x14ac:dyDescent="0.2">
      <c r="A449">
        <f>ROW(Source!A253)</f>
        <v>253</v>
      </c>
      <c r="B449">
        <v>39476960</v>
      </c>
      <c r="C449">
        <v>39478679</v>
      </c>
      <c r="D449">
        <v>36804448</v>
      </c>
      <c r="E449">
        <v>1</v>
      </c>
      <c r="F449">
        <v>1</v>
      </c>
      <c r="G449">
        <v>1</v>
      </c>
      <c r="H449">
        <v>3</v>
      </c>
      <c r="I449" t="s">
        <v>1124</v>
      </c>
      <c r="J449" t="s">
        <v>1125</v>
      </c>
      <c r="K449" t="s">
        <v>1083</v>
      </c>
      <c r="L449">
        <v>1346</v>
      </c>
      <c r="N449">
        <v>1009</v>
      </c>
      <c r="O449" t="s">
        <v>217</v>
      </c>
      <c r="P449" t="s">
        <v>217</v>
      </c>
      <c r="Q449">
        <v>1</v>
      </c>
      <c r="W449">
        <v>0</v>
      </c>
      <c r="X449">
        <v>103900845</v>
      </c>
      <c r="Y449">
        <v>0.14000000000000001</v>
      </c>
      <c r="AA449">
        <v>55.42</v>
      </c>
      <c r="AB449">
        <v>0</v>
      </c>
      <c r="AC449">
        <v>0</v>
      </c>
      <c r="AD449">
        <v>0</v>
      </c>
      <c r="AE449">
        <v>9.0399999999999991</v>
      </c>
      <c r="AF449">
        <v>0</v>
      </c>
      <c r="AG449">
        <v>0</v>
      </c>
      <c r="AH449">
        <v>0</v>
      </c>
      <c r="AI449">
        <v>6.13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0.14000000000000001</v>
      </c>
      <c r="AU449" t="s">
        <v>3</v>
      </c>
      <c r="AV449">
        <v>0</v>
      </c>
      <c r="AW449">
        <v>2</v>
      </c>
      <c r="AX449">
        <v>39478687</v>
      </c>
      <c r="AY449">
        <v>1</v>
      </c>
      <c r="AZ449">
        <v>0</v>
      </c>
      <c r="BA449">
        <v>417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Y449*Source!I253</f>
        <v>0.42000000000000004</v>
      </c>
      <c r="CY449">
        <f t="shared" si="60"/>
        <v>55.42</v>
      </c>
      <c r="CZ449">
        <f t="shared" si="61"/>
        <v>9.0399999999999991</v>
      </c>
      <c r="DA449">
        <f t="shared" si="62"/>
        <v>6.13</v>
      </c>
      <c r="DB449">
        <v>0</v>
      </c>
    </row>
    <row r="450" spans="1:106" x14ac:dyDescent="0.2">
      <c r="A450">
        <f>ROW(Source!A253)</f>
        <v>253</v>
      </c>
      <c r="B450">
        <v>39476960</v>
      </c>
      <c r="C450">
        <v>39478679</v>
      </c>
      <c r="D450">
        <v>36804580</v>
      </c>
      <c r="E450">
        <v>1</v>
      </c>
      <c r="F450">
        <v>1</v>
      </c>
      <c r="G450">
        <v>1</v>
      </c>
      <c r="H450">
        <v>3</v>
      </c>
      <c r="I450" t="s">
        <v>1131</v>
      </c>
      <c r="J450" t="s">
        <v>1132</v>
      </c>
      <c r="K450" t="s">
        <v>1133</v>
      </c>
      <c r="L450">
        <v>1355</v>
      </c>
      <c r="N450">
        <v>1010</v>
      </c>
      <c r="O450" t="s">
        <v>429</v>
      </c>
      <c r="P450" t="s">
        <v>429</v>
      </c>
      <c r="Q450">
        <v>100</v>
      </c>
      <c r="W450">
        <v>0</v>
      </c>
      <c r="X450">
        <v>1794244060</v>
      </c>
      <c r="Y450">
        <v>7.0000000000000001E-3</v>
      </c>
      <c r="AA450">
        <v>527.17999999999995</v>
      </c>
      <c r="AB450">
        <v>0</v>
      </c>
      <c r="AC450">
        <v>0</v>
      </c>
      <c r="AD450">
        <v>0</v>
      </c>
      <c r="AE450">
        <v>86</v>
      </c>
      <c r="AF450">
        <v>0</v>
      </c>
      <c r="AG450">
        <v>0</v>
      </c>
      <c r="AH450">
        <v>0</v>
      </c>
      <c r="AI450">
        <v>6.13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7.0000000000000001E-3</v>
      </c>
      <c r="AU450" t="s">
        <v>3</v>
      </c>
      <c r="AV450">
        <v>0</v>
      </c>
      <c r="AW450">
        <v>2</v>
      </c>
      <c r="AX450">
        <v>39478688</v>
      </c>
      <c r="AY450">
        <v>1</v>
      </c>
      <c r="AZ450">
        <v>0</v>
      </c>
      <c r="BA450">
        <v>418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Y450*Source!I253</f>
        <v>2.1000000000000001E-2</v>
      </c>
      <c r="CY450">
        <f t="shared" si="60"/>
        <v>527.17999999999995</v>
      </c>
      <c r="CZ450">
        <f t="shared" si="61"/>
        <v>86</v>
      </c>
      <c r="DA450">
        <f t="shared" si="62"/>
        <v>6.13</v>
      </c>
      <c r="DB450">
        <v>0</v>
      </c>
    </row>
    <row r="451" spans="1:106" x14ac:dyDescent="0.2">
      <c r="A451">
        <f>ROW(Source!A253)</f>
        <v>253</v>
      </c>
      <c r="B451">
        <v>39476960</v>
      </c>
      <c r="C451">
        <v>39478679</v>
      </c>
      <c r="D451">
        <v>36805500</v>
      </c>
      <c r="E451">
        <v>1</v>
      </c>
      <c r="F451">
        <v>1</v>
      </c>
      <c r="G451">
        <v>1</v>
      </c>
      <c r="H451">
        <v>3</v>
      </c>
      <c r="I451" t="s">
        <v>1151</v>
      </c>
      <c r="J451" t="s">
        <v>1152</v>
      </c>
      <c r="K451" t="s">
        <v>1153</v>
      </c>
      <c r="L451">
        <v>1346</v>
      </c>
      <c r="N451">
        <v>1009</v>
      </c>
      <c r="O451" t="s">
        <v>217</v>
      </c>
      <c r="P451" t="s">
        <v>217</v>
      </c>
      <c r="Q451">
        <v>1</v>
      </c>
      <c r="W451">
        <v>0</v>
      </c>
      <c r="X451">
        <v>-856710481</v>
      </c>
      <c r="Y451">
        <v>2E-3</v>
      </c>
      <c r="AA451">
        <v>815.6</v>
      </c>
      <c r="AB451">
        <v>0</v>
      </c>
      <c r="AC451">
        <v>0</v>
      </c>
      <c r="AD451">
        <v>0</v>
      </c>
      <c r="AE451">
        <v>133.05000000000001</v>
      </c>
      <c r="AF451">
        <v>0</v>
      </c>
      <c r="AG451">
        <v>0</v>
      </c>
      <c r="AH451">
        <v>0</v>
      </c>
      <c r="AI451">
        <v>6.13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3</v>
      </c>
      <c r="AT451">
        <v>2E-3</v>
      </c>
      <c r="AU451" t="s">
        <v>3</v>
      </c>
      <c r="AV451">
        <v>0</v>
      </c>
      <c r="AW451">
        <v>2</v>
      </c>
      <c r="AX451">
        <v>39478689</v>
      </c>
      <c r="AY451">
        <v>1</v>
      </c>
      <c r="AZ451">
        <v>0</v>
      </c>
      <c r="BA451">
        <v>419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Y451*Source!I253</f>
        <v>6.0000000000000001E-3</v>
      </c>
      <c r="CY451">
        <f t="shared" si="60"/>
        <v>815.6</v>
      </c>
      <c r="CZ451">
        <f t="shared" si="61"/>
        <v>133.05000000000001</v>
      </c>
      <c r="DA451">
        <f t="shared" si="62"/>
        <v>6.13</v>
      </c>
      <c r="DB451">
        <v>0</v>
      </c>
    </row>
    <row r="452" spans="1:106" x14ac:dyDescent="0.2">
      <c r="A452">
        <f>ROW(Source!A253)</f>
        <v>253</v>
      </c>
      <c r="B452">
        <v>39476960</v>
      </c>
      <c r="C452">
        <v>39478679</v>
      </c>
      <c r="D452">
        <v>36823140</v>
      </c>
      <c r="E452">
        <v>1</v>
      </c>
      <c r="F452">
        <v>1</v>
      </c>
      <c r="G452">
        <v>1</v>
      </c>
      <c r="H452">
        <v>3</v>
      </c>
      <c r="I452" t="s">
        <v>1154</v>
      </c>
      <c r="J452" t="s">
        <v>1155</v>
      </c>
      <c r="K452" t="s">
        <v>1156</v>
      </c>
      <c r="L452">
        <v>1348</v>
      </c>
      <c r="N452">
        <v>1009</v>
      </c>
      <c r="O452" t="s">
        <v>34</v>
      </c>
      <c r="P452" t="s">
        <v>34</v>
      </c>
      <c r="Q452">
        <v>1000</v>
      </c>
      <c r="W452">
        <v>0</v>
      </c>
      <c r="X452">
        <v>426000481</v>
      </c>
      <c r="Y452">
        <v>3.0000000000000001E-3</v>
      </c>
      <c r="AA452">
        <v>70495</v>
      </c>
      <c r="AB452">
        <v>0</v>
      </c>
      <c r="AC452">
        <v>0</v>
      </c>
      <c r="AD452">
        <v>0</v>
      </c>
      <c r="AE452">
        <v>11500</v>
      </c>
      <c r="AF452">
        <v>0</v>
      </c>
      <c r="AG452">
        <v>0</v>
      </c>
      <c r="AH452">
        <v>0</v>
      </c>
      <c r="AI452">
        <v>6.13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3.0000000000000001E-3</v>
      </c>
      <c r="AU452" t="s">
        <v>3</v>
      </c>
      <c r="AV452">
        <v>0</v>
      </c>
      <c r="AW452">
        <v>2</v>
      </c>
      <c r="AX452">
        <v>39478690</v>
      </c>
      <c r="AY452">
        <v>1</v>
      </c>
      <c r="AZ452">
        <v>0</v>
      </c>
      <c r="BA452">
        <v>420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Y452*Source!I253</f>
        <v>9.0000000000000011E-3</v>
      </c>
      <c r="CY452">
        <f t="shared" si="60"/>
        <v>70495</v>
      </c>
      <c r="CZ452">
        <f t="shared" si="61"/>
        <v>11500</v>
      </c>
      <c r="DA452">
        <f t="shared" si="62"/>
        <v>6.13</v>
      </c>
      <c r="DB452">
        <v>0</v>
      </c>
    </row>
    <row r="453" spans="1:106" x14ac:dyDescent="0.2">
      <c r="A453">
        <f>ROW(Source!A253)</f>
        <v>253</v>
      </c>
      <c r="B453">
        <v>39476960</v>
      </c>
      <c r="C453">
        <v>39478679</v>
      </c>
      <c r="D453">
        <v>36838317</v>
      </c>
      <c r="E453">
        <v>1</v>
      </c>
      <c r="F453">
        <v>1</v>
      </c>
      <c r="G453">
        <v>1</v>
      </c>
      <c r="H453">
        <v>3</v>
      </c>
      <c r="I453" t="s">
        <v>1090</v>
      </c>
      <c r="J453" t="s">
        <v>1091</v>
      </c>
      <c r="K453" t="s">
        <v>1092</v>
      </c>
      <c r="L453">
        <v>1346</v>
      </c>
      <c r="N453">
        <v>1009</v>
      </c>
      <c r="O453" t="s">
        <v>217</v>
      </c>
      <c r="P453" t="s">
        <v>217</v>
      </c>
      <c r="Q453">
        <v>1</v>
      </c>
      <c r="W453">
        <v>0</v>
      </c>
      <c r="X453">
        <v>210558753</v>
      </c>
      <c r="Y453">
        <v>1.7999999999999999E-2</v>
      </c>
      <c r="AA453">
        <v>175.32</v>
      </c>
      <c r="AB453">
        <v>0</v>
      </c>
      <c r="AC453">
        <v>0</v>
      </c>
      <c r="AD453">
        <v>0</v>
      </c>
      <c r="AE453">
        <v>28.6</v>
      </c>
      <c r="AF453">
        <v>0</v>
      </c>
      <c r="AG453">
        <v>0</v>
      </c>
      <c r="AH453">
        <v>0</v>
      </c>
      <c r="AI453">
        <v>6.13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1.7999999999999999E-2</v>
      </c>
      <c r="AU453" t="s">
        <v>3</v>
      </c>
      <c r="AV453">
        <v>0</v>
      </c>
      <c r="AW453">
        <v>2</v>
      </c>
      <c r="AX453">
        <v>39478691</v>
      </c>
      <c r="AY453">
        <v>1</v>
      </c>
      <c r="AZ453">
        <v>0</v>
      </c>
      <c r="BA453">
        <v>421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Y453*Source!I253</f>
        <v>5.3999999999999992E-2</v>
      </c>
      <c r="CY453">
        <f t="shared" si="60"/>
        <v>175.32</v>
      </c>
      <c r="CZ453">
        <f t="shared" si="61"/>
        <v>28.6</v>
      </c>
      <c r="DA453">
        <f t="shared" si="62"/>
        <v>6.13</v>
      </c>
      <c r="DB453">
        <v>0</v>
      </c>
    </row>
    <row r="454" spans="1:106" x14ac:dyDescent="0.2">
      <c r="A454">
        <f>ROW(Source!A253)</f>
        <v>253</v>
      </c>
      <c r="B454">
        <v>39476960</v>
      </c>
      <c r="C454">
        <v>39478679</v>
      </c>
      <c r="D454">
        <v>36838470</v>
      </c>
      <c r="E454">
        <v>1</v>
      </c>
      <c r="F454">
        <v>1</v>
      </c>
      <c r="G454">
        <v>1</v>
      </c>
      <c r="H454">
        <v>3</v>
      </c>
      <c r="I454" t="s">
        <v>1157</v>
      </c>
      <c r="J454" t="s">
        <v>1158</v>
      </c>
      <c r="K454" t="s">
        <v>1159</v>
      </c>
      <c r="L454">
        <v>1346</v>
      </c>
      <c r="N454">
        <v>1009</v>
      </c>
      <c r="O454" t="s">
        <v>217</v>
      </c>
      <c r="P454" t="s">
        <v>217</v>
      </c>
      <c r="Q454">
        <v>1</v>
      </c>
      <c r="W454">
        <v>0</v>
      </c>
      <c r="X454">
        <v>-1274984028</v>
      </c>
      <c r="Y454">
        <v>8.9999999999999993E-3</v>
      </c>
      <c r="AA454">
        <v>218.41</v>
      </c>
      <c r="AB454">
        <v>0</v>
      </c>
      <c r="AC454">
        <v>0</v>
      </c>
      <c r="AD454">
        <v>0</v>
      </c>
      <c r="AE454">
        <v>35.630000000000003</v>
      </c>
      <c r="AF454">
        <v>0</v>
      </c>
      <c r="AG454">
        <v>0</v>
      </c>
      <c r="AH454">
        <v>0</v>
      </c>
      <c r="AI454">
        <v>6.13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8.9999999999999993E-3</v>
      </c>
      <c r="AU454" t="s">
        <v>3</v>
      </c>
      <c r="AV454">
        <v>0</v>
      </c>
      <c r="AW454">
        <v>2</v>
      </c>
      <c r="AX454">
        <v>39478692</v>
      </c>
      <c r="AY454">
        <v>1</v>
      </c>
      <c r="AZ454">
        <v>0</v>
      </c>
      <c r="BA454">
        <v>422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Y454*Source!I253</f>
        <v>2.6999999999999996E-2</v>
      </c>
      <c r="CY454">
        <f t="shared" si="60"/>
        <v>218.41</v>
      </c>
      <c r="CZ454">
        <f t="shared" si="61"/>
        <v>35.630000000000003</v>
      </c>
      <c r="DA454">
        <f t="shared" si="62"/>
        <v>6.13</v>
      </c>
      <c r="DB454">
        <v>0</v>
      </c>
    </row>
    <row r="455" spans="1:106" x14ac:dyDescent="0.2">
      <c r="A455">
        <f>ROW(Source!A253)</f>
        <v>253</v>
      </c>
      <c r="B455">
        <v>39476960</v>
      </c>
      <c r="C455">
        <v>39478679</v>
      </c>
      <c r="D455">
        <v>36851945</v>
      </c>
      <c r="E455">
        <v>1</v>
      </c>
      <c r="F455">
        <v>1</v>
      </c>
      <c r="G455">
        <v>1</v>
      </c>
      <c r="H455">
        <v>3</v>
      </c>
      <c r="I455" t="s">
        <v>1160</v>
      </c>
      <c r="J455" t="s">
        <v>1161</v>
      </c>
      <c r="K455" t="s">
        <v>1162</v>
      </c>
      <c r="L455">
        <v>1358</v>
      </c>
      <c r="N455">
        <v>1010</v>
      </c>
      <c r="O455" t="s">
        <v>160</v>
      </c>
      <c r="P455" t="s">
        <v>160</v>
      </c>
      <c r="Q455">
        <v>10</v>
      </c>
      <c r="W455">
        <v>0</v>
      </c>
      <c r="X455">
        <v>1386890308</v>
      </c>
      <c r="Y455">
        <v>0.1</v>
      </c>
      <c r="AA455">
        <v>239.07</v>
      </c>
      <c r="AB455">
        <v>0</v>
      </c>
      <c r="AC455">
        <v>0</v>
      </c>
      <c r="AD455">
        <v>0</v>
      </c>
      <c r="AE455">
        <v>39</v>
      </c>
      <c r="AF455">
        <v>0</v>
      </c>
      <c r="AG455">
        <v>0</v>
      </c>
      <c r="AH455">
        <v>0</v>
      </c>
      <c r="AI455">
        <v>6.13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0.1</v>
      </c>
      <c r="AU455" t="s">
        <v>3</v>
      </c>
      <c r="AV455">
        <v>0</v>
      </c>
      <c r="AW455">
        <v>2</v>
      </c>
      <c r="AX455">
        <v>39478693</v>
      </c>
      <c r="AY455">
        <v>1</v>
      </c>
      <c r="AZ455">
        <v>0</v>
      </c>
      <c r="BA455">
        <v>423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Y455*Source!I253</f>
        <v>0.30000000000000004</v>
      </c>
      <c r="CY455">
        <f t="shared" si="60"/>
        <v>239.07</v>
      </c>
      <c r="CZ455">
        <f t="shared" si="61"/>
        <v>39</v>
      </c>
      <c r="DA455">
        <f t="shared" si="62"/>
        <v>6.13</v>
      </c>
      <c r="DB455">
        <v>0</v>
      </c>
    </row>
    <row r="456" spans="1:106" x14ac:dyDescent="0.2">
      <c r="A456">
        <f>ROW(Source!A253)</f>
        <v>253</v>
      </c>
      <c r="B456">
        <v>39476960</v>
      </c>
      <c r="C456">
        <v>39478679</v>
      </c>
      <c r="D456">
        <v>36877377</v>
      </c>
      <c r="E456">
        <v>1</v>
      </c>
      <c r="F456">
        <v>1</v>
      </c>
      <c r="G456">
        <v>1</v>
      </c>
      <c r="H456">
        <v>3</v>
      </c>
      <c r="I456" t="s">
        <v>603</v>
      </c>
      <c r="J456" t="s">
        <v>605</v>
      </c>
      <c r="K456" t="s">
        <v>604</v>
      </c>
      <c r="L456">
        <v>1354</v>
      </c>
      <c r="N456">
        <v>1010</v>
      </c>
      <c r="O456" t="s">
        <v>415</v>
      </c>
      <c r="P456" t="s">
        <v>415</v>
      </c>
      <c r="Q456">
        <v>1</v>
      </c>
      <c r="W456">
        <v>0</v>
      </c>
      <c r="X456">
        <v>-1114923244</v>
      </c>
      <c r="Y456">
        <v>1</v>
      </c>
      <c r="AA456">
        <v>36208.01</v>
      </c>
      <c r="AB456">
        <v>0</v>
      </c>
      <c r="AC456">
        <v>0</v>
      </c>
      <c r="AD456">
        <v>0</v>
      </c>
      <c r="AE456">
        <v>5906.69</v>
      </c>
      <c r="AF456">
        <v>0</v>
      </c>
      <c r="AG456">
        <v>0</v>
      </c>
      <c r="AH456">
        <v>0</v>
      </c>
      <c r="AI456">
        <v>6.13</v>
      </c>
      <c r="AJ456">
        <v>1</v>
      </c>
      <c r="AK456">
        <v>1</v>
      </c>
      <c r="AL456">
        <v>1</v>
      </c>
      <c r="AN456">
        <v>0</v>
      </c>
      <c r="AO456">
        <v>0</v>
      </c>
      <c r="AP456">
        <v>0</v>
      </c>
      <c r="AQ456">
        <v>0</v>
      </c>
      <c r="AR456">
        <v>0</v>
      </c>
      <c r="AS456" t="s">
        <v>3</v>
      </c>
      <c r="AT456">
        <v>1</v>
      </c>
      <c r="AU456" t="s">
        <v>3</v>
      </c>
      <c r="AV456">
        <v>0</v>
      </c>
      <c r="AW456">
        <v>1</v>
      </c>
      <c r="AX456">
        <v>-1</v>
      </c>
      <c r="AY456">
        <v>0</v>
      </c>
      <c r="AZ456">
        <v>0</v>
      </c>
      <c r="BA456" t="s">
        <v>3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Y456*Source!I253</f>
        <v>3</v>
      </c>
      <c r="CY456">
        <f t="shared" si="60"/>
        <v>36208.01</v>
      </c>
      <c r="CZ456">
        <f t="shared" si="61"/>
        <v>5906.69</v>
      </c>
      <c r="DA456">
        <f t="shared" si="62"/>
        <v>6.13</v>
      </c>
      <c r="DB456">
        <v>0</v>
      </c>
    </row>
    <row r="457" spans="1:106" x14ac:dyDescent="0.2">
      <c r="A457">
        <f>ROW(Source!A253)</f>
        <v>253</v>
      </c>
      <c r="B457">
        <v>39476960</v>
      </c>
      <c r="C457">
        <v>39478679</v>
      </c>
      <c r="D457">
        <v>36799065</v>
      </c>
      <c r="E457">
        <v>17</v>
      </c>
      <c r="F457">
        <v>1</v>
      </c>
      <c r="G457">
        <v>1</v>
      </c>
      <c r="H457">
        <v>3</v>
      </c>
      <c r="I457" t="s">
        <v>1099</v>
      </c>
      <c r="J457" t="s">
        <v>3</v>
      </c>
      <c r="K457" t="s">
        <v>1100</v>
      </c>
      <c r="L457">
        <v>1374</v>
      </c>
      <c r="N457">
        <v>1013</v>
      </c>
      <c r="O457" t="s">
        <v>1101</v>
      </c>
      <c r="P457" t="s">
        <v>1101</v>
      </c>
      <c r="Q457">
        <v>1</v>
      </c>
      <c r="W457">
        <v>0</v>
      </c>
      <c r="X457">
        <v>-1731369543</v>
      </c>
      <c r="Y457">
        <v>0.43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0.43</v>
      </c>
      <c r="AU457" t="s">
        <v>3</v>
      </c>
      <c r="AV457">
        <v>0</v>
      </c>
      <c r="AW457">
        <v>2</v>
      </c>
      <c r="AX457">
        <v>39478694</v>
      </c>
      <c r="AY457">
        <v>1</v>
      </c>
      <c r="AZ457">
        <v>0</v>
      </c>
      <c r="BA457">
        <v>424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Y457*Source!I253</f>
        <v>1.29</v>
      </c>
      <c r="CY457">
        <f t="shared" si="60"/>
        <v>1</v>
      </c>
      <c r="CZ457">
        <f t="shared" si="61"/>
        <v>1</v>
      </c>
      <c r="DA457">
        <f t="shared" si="62"/>
        <v>1</v>
      </c>
      <c r="DB457">
        <v>0</v>
      </c>
    </row>
    <row r="458" spans="1:106" x14ac:dyDescent="0.2">
      <c r="A458">
        <f>ROW(Source!A255)</f>
        <v>255</v>
      </c>
      <c r="B458">
        <v>39476960</v>
      </c>
      <c r="C458">
        <v>39478720</v>
      </c>
      <c r="D458">
        <v>37071037</v>
      </c>
      <c r="E458">
        <v>1</v>
      </c>
      <c r="F458">
        <v>1</v>
      </c>
      <c r="G458">
        <v>1</v>
      </c>
      <c r="H458">
        <v>1</v>
      </c>
      <c r="I458" t="s">
        <v>992</v>
      </c>
      <c r="J458" t="s">
        <v>3</v>
      </c>
      <c r="K458" t="s">
        <v>993</v>
      </c>
      <c r="L458">
        <v>1191</v>
      </c>
      <c r="N458">
        <v>1013</v>
      </c>
      <c r="O458" t="s">
        <v>796</v>
      </c>
      <c r="P458" t="s">
        <v>796</v>
      </c>
      <c r="Q458">
        <v>1</v>
      </c>
      <c r="W458">
        <v>0</v>
      </c>
      <c r="X458">
        <v>1069510174</v>
      </c>
      <c r="Y458">
        <v>12.4062</v>
      </c>
      <c r="AA458">
        <v>0</v>
      </c>
      <c r="AB458">
        <v>0</v>
      </c>
      <c r="AC458">
        <v>0</v>
      </c>
      <c r="AD458">
        <v>58.97</v>
      </c>
      <c r="AE458">
        <v>0</v>
      </c>
      <c r="AF458">
        <v>0</v>
      </c>
      <c r="AG458">
        <v>0</v>
      </c>
      <c r="AH458">
        <v>9.6199999999999992</v>
      </c>
      <c r="AI458">
        <v>1</v>
      </c>
      <c r="AJ458">
        <v>1</v>
      </c>
      <c r="AK458">
        <v>1</v>
      </c>
      <c r="AL458">
        <v>6.13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3</v>
      </c>
      <c r="AT458">
        <v>8.99</v>
      </c>
      <c r="AU458" t="s">
        <v>54</v>
      </c>
      <c r="AV458">
        <v>1</v>
      </c>
      <c r="AW458">
        <v>2</v>
      </c>
      <c r="AX458">
        <v>39478721</v>
      </c>
      <c r="AY458">
        <v>1</v>
      </c>
      <c r="AZ458">
        <v>0</v>
      </c>
      <c r="BA458">
        <v>425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Y458*Source!I255</f>
        <v>1.2406200000000001</v>
      </c>
      <c r="CY458">
        <f>AD458</f>
        <v>58.97</v>
      </c>
      <c r="CZ458">
        <f>AH458</f>
        <v>9.6199999999999992</v>
      </c>
      <c r="DA458">
        <f>AL458</f>
        <v>6.13</v>
      </c>
      <c r="DB458">
        <v>0</v>
      </c>
    </row>
    <row r="459" spans="1:106" x14ac:dyDescent="0.2">
      <c r="A459">
        <f>ROW(Source!A255)</f>
        <v>255</v>
      </c>
      <c r="B459">
        <v>39476960</v>
      </c>
      <c r="C459">
        <v>39478720</v>
      </c>
      <c r="D459">
        <v>37064876</v>
      </c>
      <c r="E459">
        <v>1</v>
      </c>
      <c r="F459">
        <v>1</v>
      </c>
      <c r="G459">
        <v>1</v>
      </c>
      <c r="H459">
        <v>1</v>
      </c>
      <c r="I459" t="s">
        <v>797</v>
      </c>
      <c r="J459" t="s">
        <v>3</v>
      </c>
      <c r="K459" t="s">
        <v>798</v>
      </c>
      <c r="L459">
        <v>1191</v>
      </c>
      <c r="N459">
        <v>1013</v>
      </c>
      <c r="O459" t="s">
        <v>796</v>
      </c>
      <c r="P459" t="s">
        <v>796</v>
      </c>
      <c r="Q459">
        <v>1</v>
      </c>
      <c r="W459">
        <v>0</v>
      </c>
      <c r="X459">
        <v>-1417349443</v>
      </c>
      <c r="Y459">
        <v>0.21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6.13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0.21</v>
      </c>
      <c r="AU459" t="s">
        <v>3</v>
      </c>
      <c r="AV459">
        <v>2</v>
      </c>
      <c r="AW459">
        <v>2</v>
      </c>
      <c r="AX459">
        <v>39478722</v>
      </c>
      <c r="AY459">
        <v>1</v>
      </c>
      <c r="AZ459">
        <v>2048</v>
      </c>
      <c r="BA459">
        <v>426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Y459*Source!I255</f>
        <v>2.1000000000000001E-2</v>
      </c>
      <c r="CY459">
        <f>AD459</f>
        <v>0</v>
      </c>
      <c r="CZ459">
        <f>AH459</f>
        <v>0</v>
      </c>
      <c r="DA459">
        <f>AL459</f>
        <v>1</v>
      </c>
      <c r="DB459">
        <v>0</v>
      </c>
    </row>
    <row r="460" spans="1:106" x14ac:dyDescent="0.2">
      <c r="A460">
        <f>ROW(Source!A255)</f>
        <v>255</v>
      </c>
      <c r="B460">
        <v>39476960</v>
      </c>
      <c r="C460">
        <v>39478720</v>
      </c>
      <c r="D460">
        <v>36882452</v>
      </c>
      <c r="E460">
        <v>1</v>
      </c>
      <c r="F460">
        <v>1</v>
      </c>
      <c r="G460">
        <v>1</v>
      </c>
      <c r="H460">
        <v>2</v>
      </c>
      <c r="I460" t="s">
        <v>799</v>
      </c>
      <c r="J460" t="s">
        <v>800</v>
      </c>
      <c r="K460" t="s">
        <v>801</v>
      </c>
      <c r="L460">
        <v>1368</v>
      </c>
      <c r="N460">
        <v>1011</v>
      </c>
      <c r="O460" t="s">
        <v>802</v>
      </c>
      <c r="P460" t="s">
        <v>802</v>
      </c>
      <c r="Q460">
        <v>1</v>
      </c>
      <c r="W460">
        <v>0</v>
      </c>
      <c r="X460">
        <v>1188625873</v>
      </c>
      <c r="Y460">
        <v>0.10500000000000001</v>
      </c>
      <c r="AA460">
        <v>0</v>
      </c>
      <c r="AB460">
        <v>191.62</v>
      </c>
      <c r="AC460">
        <v>13.5</v>
      </c>
      <c r="AD460">
        <v>0</v>
      </c>
      <c r="AE460">
        <v>0</v>
      </c>
      <c r="AF460">
        <v>31.26</v>
      </c>
      <c r="AG460">
        <v>13.5</v>
      </c>
      <c r="AH460">
        <v>0</v>
      </c>
      <c r="AI460">
        <v>1</v>
      </c>
      <c r="AJ460">
        <v>6.13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7.0000000000000007E-2</v>
      </c>
      <c r="AU460" t="s">
        <v>53</v>
      </c>
      <c r="AV460">
        <v>0</v>
      </c>
      <c r="AW460">
        <v>2</v>
      </c>
      <c r="AX460">
        <v>39478723</v>
      </c>
      <c r="AY460">
        <v>1</v>
      </c>
      <c r="AZ460">
        <v>0</v>
      </c>
      <c r="BA460">
        <v>427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Y460*Source!I255</f>
        <v>1.0500000000000002E-2</v>
      </c>
      <c r="CY460">
        <f>AB460</f>
        <v>191.62</v>
      </c>
      <c r="CZ460">
        <f>AF460</f>
        <v>31.26</v>
      </c>
      <c r="DA460">
        <f>AJ460</f>
        <v>6.13</v>
      </c>
      <c r="DB460">
        <v>0</v>
      </c>
    </row>
    <row r="461" spans="1:106" x14ac:dyDescent="0.2">
      <c r="A461">
        <f>ROW(Source!A255)</f>
        <v>255</v>
      </c>
      <c r="B461">
        <v>39476960</v>
      </c>
      <c r="C461">
        <v>39478720</v>
      </c>
      <c r="D461">
        <v>36883554</v>
      </c>
      <c r="E461">
        <v>1</v>
      </c>
      <c r="F461">
        <v>1</v>
      </c>
      <c r="G461">
        <v>1</v>
      </c>
      <c r="H461">
        <v>2</v>
      </c>
      <c r="I461" t="s">
        <v>834</v>
      </c>
      <c r="J461" t="s">
        <v>835</v>
      </c>
      <c r="K461" t="s">
        <v>836</v>
      </c>
      <c r="L461">
        <v>1368</v>
      </c>
      <c r="N461">
        <v>1011</v>
      </c>
      <c r="O461" t="s">
        <v>802</v>
      </c>
      <c r="P461" t="s">
        <v>802</v>
      </c>
      <c r="Q461">
        <v>1</v>
      </c>
      <c r="W461">
        <v>0</v>
      </c>
      <c r="X461">
        <v>1372534845</v>
      </c>
      <c r="Y461">
        <v>0.21000000000000002</v>
      </c>
      <c r="AA461">
        <v>0</v>
      </c>
      <c r="AB461">
        <v>402.8</v>
      </c>
      <c r="AC461">
        <v>11.6</v>
      </c>
      <c r="AD461">
        <v>0</v>
      </c>
      <c r="AE461">
        <v>0</v>
      </c>
      <c r="AF461">
        <v>65.709999999999994</v>
      </c>
      <c r="AG461">
        <v>11.6</v>
      </c>
      <c r="AH461">
        <v>0</v>
      </c>
      <c r="AI461">
        <v>1</v>
      </c>
      <c r="AJ461">
        <v>6.13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0.14000000000000001</v>
      </c>
      <c r="AU461" t="s">
        <v>53</v>
      </c>
      <c r="AV461">
        <v>0</v>
      </c>
      <c r="AW461">
        <v>2</v>
      </c>
      <c r="AX461">
        <v>39478724</v>
      </c>
      <c r="AY461">
        <v>1</v>
      </c>
      <c r="AZ461">
        <v>0</v>
      </c>
      <c r="BA461">
        <v>428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Y461*Source!I255</f>
        <v>2.1000000000000005E-2</v>
      </c>
      <c r="CY461">
        <f>AB461</f>
        <v>402.8</v>
      </c>
      <c r="CZ461">
        <f>AF461</f>
        <v>65.709999999999994</v>
      </c>
      <c r="DA461">
        <f>AJ461</f>
        <v>6.13</v>
      </c>
      <c r="DB461">
        <v>0</v>
      </c>
    </row>
    <row r="462" spans="1:106" x14ac:dyDescent="0.2">
      <c r="A462">
        <f>ROW(Source!A255)</f>
        <v>255</v>
      </c>
      <c r="B462">
        <v>39476960</v>
      </c>
      <c r="C462">
        <v>39478720</v>
      </c>
      <c r="D462">
        <v>36802461</v>
      </c>
      <c r="E462">
        <v>1</v>
      </c>
      <c r="F462">
        <v>1</v>
      </c>
      <c r="G462">
        <v>1</v>
      </c>
      <c r="H462">
        <v>3</v>
      </c>
      <c r="I462" t="s">
        <v>1211</v>
      </c>
      <c r="J462" t="s">
        <v>1212</v>
      </c>
      <c r="K462" t="s">
        <v>1213</v>
      </c>
      <c r="L462">
        <v>1348</v>
      </c>
      <c r="N462">
        <v>1009</v>
      </c>
      <c r="O462" t="s">
        <v>34</v>
      </c>
      <c r="P462" t="s">
        <v>34</v>
      </c>
      <c r="Q462">
        <v>1000</v>
      </c>
      <c r="W462">
        <v>0</v>
      </c>
      <c r="X462">
        <v>-1699345571</v>
      </c>
      <c r="Y462">
        <v>1.4E-3</v>
      </c>
      <c r="AA462">
        <v>184083.9</v>
      </c>
      <c r="AB462">
        <v>0</v>
      </c>
      <c r="AC462">
        <v>0</v>
      </c>
      <c r="AD462">
        <v>0</v>
      </c>
      <c r="AE462">
        <v>30030</v>
      </c>
      <c r="AF462">
        <v>0</v>
      </c>
      <c r="AG462">
        <v>0</v>
      </c>
      <c r="AH462">
        <v>0</v>
      </c>
      <c r="AI462">
        <v>6.13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1.4E-3</v>
      </c>
      <c r="AU462" t="s">
        <v>3</v>
      </c>
      <c r="AV462">
        <v>0</v>
      </c>
      <c r="AW462">
        <v>2</v>
      </c>
      <c r="AX462">
        <v>39478725</v>
      </c>
      <c r="AY462">
        <v>1</v>
      </c>
      <c r="AZ462">
        <v>0</v>
      </c>
      <c r="BA462">
        <v>429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Y462*Source!I255</f>
        <v>1.4000000000000001E-4</v>
      </c>
      <c r="CY462">
        <f t="shared" ref="CY462:CY471" si="63">AA462</f>
        <v>184083.9</v>
      </c>
      <c r="CZ462">
        <f t="shared" ref="CZ462:CZ471" si="64">AE462</f>
        <v>30030</v>
      </c>
      <c r="DA462">
        <f t="shared" ref="DA462:DA471" si="65">AI462</f>
        <v>6.13</v>
      </c>
      <c r="DB462">
        <v>0</v>
      </c>
    </row>
    <row r="463" spans="1:106" x14ac:dyDescent="0.2">
      <c r="A463">
        <f>ROW(Source!A255)</f>
        <v>255</v>
      </c>
      <c r="B463">
        <v>39476960</v>
      </c>
      <c r="C463">
        <v>39478720</v>
      </c>
      <c r="D463">
        <v>36802469</v>
      </c>
      <c r="E463">
        <v>1</v>
      </c>
      <c r="F463">
        <v>1</v>
      </c>
      <c r="G463">
        <v>1</v>
      </c>
      <c r="H463">
        <v>3</v>
      </c>
      <c r="I463" t="s">
        <v>1197</v>
      </c>
      <c r="J463" t="s">
        <v>1198</v>
      </c>
      <c r="K463" t="s">
        <v>1199</v>
      </c>
      <c r="L463">
        <v>1346</v>
      </c>
      <c r="N463">
        <v>1009</v>
      </c>
      <c r="O463" t="s">
        <v>217</v>
      </c>
      <c r="P463" t="s">
        <v>217</v>
      </c>
      <c r="Q463">
        <v>1</v>
      </c>
      <c r="W463">
        <v>0</v>
      </c>
      <c r="X463">
        <v>-490687590</v>
      </c>
      <c r="Y463">
        <v>0.02</v>
      </c>
      <c r="AA463">
        <v>228.59</v>
      </c>
      <c r="AB463">
        <v>0</v>
      </c>
      <c r="AC463">
        <v>0</v>
      </c>
      <c r="AD463">
        <v>0</v>
      </c>
      <c r="AE463">
        <v>37.29</v>
      </c>
      <c r="AF463">
        <v>0</v>
      </c>
      <c r="AG463">
        <v>0</v>
      </c>
      <c r="AH463">
        <v>0</v>
      </c>
      <c r="AI463">
        <v>6.13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0.02</v>
      </c>
      <c r="AU463" t="s">
        <v>3</v>
      </c>
      <c r="AV463">
        <v>0</v>
      </c>
      <c r="AW463">
        <v>2</v>
      </c>
      <c r="AX463">
        <v>39478726</v>
      </c>
      <c r="AY463">
        <v>1</v>
      </c>
      <c r="AZ463">
        <v>0</v>
      </c>
      <c r="BA463">
        <v>430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Y463*Source!I255</f>
        <v>2E-3</v>
      </c>
      <c r="CY463">
        <f t="shared" si="63"/>
        <v>228.59</v>
      </c>
      <c r="CZ463">
        <f t="shared" si="64"/>
        <v>37.29</v>
      </c>
      <c r="DA463">
        <f t="shared" si="65"/>
        <v>6.13</v>
      </c>
      <c r="DB463">
        <v>0</v>
      </c>
    </row>
    <row r="464" spans="1:106" x14ac:dyDescent="0.2">
      <c r="A464">
        <f>ROW(Source!A255)</f>
        <v>255</v>
      </c>
      <c r="B464">
        <v>39476960</v>
      </c>
      <c r="C464">
        <v>39478720</v>
      </c>
      <c r="D464">
        <v>36797518</v>
      </c>
      <c r="E464">
        <v>17</v>
      </c>
      <c r="F464">
        <v>1</v>
      </c>
      <c r="G464">
        <v>1</v>
      </c>
      <c r="H464">
        <v>3</v>
      </c>
      <c r="I464" t="s">
        <v>592</v>
      </c>
      <c r="J464" t="s">
        <v>3</v>
      </c>
      <c r="K464" t="s">
        <v>593</v>
      </c>
      <c r="L464">
        <v>1358</v>
      </c>
      <c r="N464">
        <v>1010</v>
      </c>
      <c r="O464" t="s">
        <v>160</v>
      </c>
      <c r="P464" t="s">
        <v>160</v>
      </c>
      <c r="Q464">
        <v>10</v>
      </c>
      <c r="W464">
        <v>0</v>
      </c>
      <c r="X464">
        <v>488433216</v>
      </c>
      <c r="Y464">
        <v>4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6.13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3</v>
      </c>
      <c r="AT464">
        <v>4</v>
      </c>
      <c r="AU464" t="s">
        <v>3</v>
      </c>
      <c r="AV464">
        <v>0</v>
      </c>
      <c r="AW464">
        <v>2</v>
      </c>
      <c r="AX464">
        <v>39478727</v>
      </c>
      <c r="AY464">
        <v>1</v>
      </c>
      <c r="AZ464">
        <v>0</v>
      </c>
      <c r="BA464">
        <v>431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Y464*Source!I255</f>
        <v>0.4</v>
      </c>
      <c r="CY464">
        <f t="shared" si="63"/>
        <v>0</v>
      </c>
      <c r="CZ464">
        <f t="shared" si="64"/>
        <v>0</v>
      </c>
      <c r="DA464">
        <f t="shared" si="65"/>
        <v>6.13</v>
      </c>
      <c r="DB464">
        <v>0</v>
      </c>
    </row>
    <row r="465" spans="1:106" x14ac:dyDescent="0.2">
      <c r="A465">
        <f>ROW(Source!A255)</f>
        <v>255</v>
      </c>
      <c r="B465">
        <v>39476960</v>
      </c>
      <c r="C465">
        <v>39478720</v>
      </c>
      <c r="D465">
        <v>36804575</v>
      </c>
      <c r="E465">
        <v>1</v>
      </c>
      <c r="F465">
        <v>1</v>
      </c>
      <c r="G465">
        <v>1</v>
      </c>
      <c r="H465">
        <v>3</v>
      </c>
      <c r="I465" t="s">
        <v>572</v>
      </c>
      <c r="J465" t="s">
        <v>574</v>
      </c>
      <c r="K465" t="s">
        <v>573</v>
      </c>
      <c r="L465">
        <v>1355</v>
      </c>
      <c r="N465">
        <v>1010</v>
      </c>
      <c r="O465" t="s">
        <v>429</v>
      </c>
      <c r="P465" t="s">
        <v>429</v>
      </c>
      <c r="Q465">
        <v>100</v>
      </c>
      <c r="W465">
        <v>0</v>
      </c>
      <c r="X465">
        <v>-1390362517</v>
      </c>
      <c r="Y465">
        <v>0.4</v>
      </c>
      <c r="AA465">
        <v>181.45</v>
      </c>
      <c r="AB465">
        <v>0</v>
      </c>
      <c r="AC465">
        <v>0</v>
      </c>
      <c r="AD465">
        <v>0</v>
      </c>
      <c r="AE465">
        <v>29.6</v>
      </c>
      <c r="AF465">
        <v>0</v>
      </c>
      <c r="AG465">
        <v>0</v>
      </c>
      <c r="AH465">
        <v>0</v>
      </c>
      <c r="AI465">
        <v>6.13</v>
      </c>
      <c r="AJ465">
        <v>1</v>
      </c>
      <c r="AK465">
        <v>1</v>
      </c>
      <c r="AL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3</v>
      </c>
      <c r="AT465">
        <v>0.4</v>
      </c>
      <c r="AU465" t="s">
        <v>3</v>
      </c>
      <c r="AV465">
        <v>0</v>
      </c>
      <c r="AW465">
        <v>1</v>
      </c>
      <c r="AX465">
        <v>-1</v>
      </c>
      <c r="AY465">
        <v>0</v>
      </c>
      <c r="AZ465">
        <v>0</v>
      </c>
      <c r="BA465" t="s">
        <v>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Y465*Source!I255</f>
        <v>4.0000000000000008E-2</v>
      </c>
      <c r="CY465">
        <f t="shared" si="63"/>
        <v>181.45</v>
      </c>
      <c r="CZ465">
        <f t="shared" si="64"/>
        <v>29.6</v>
      </c>
      <c r="DA465">
        <f t="shared" si="65"/>
        <v>6.13</v>
      </c>
      <c r="DB465">
        <v>0</v>
      </c>
    </row>
    <row r="466" spans="1:106" x14ac:dyDescent="0.2">
      <c r="A466">
        <f>ROW(Source!A255)</f>
        <v>255</v>
      </c>
      <c r="B466">
        <v>39476960</v>
      </c>
      <c r="C466">
        <v>39478720</v>
      </c>
      <c r="D466">
        <v>36796579</v>
      </c>
      <c r="E466">
        <v>17</v>
      </c>
      <c r="F466">
        <v>1</v>
      </c>
      <c r="G466">
        <v>1</v>
      </c>
      <c r="H466">
        <v>3</v>
      </c>
      <c r="I466" t="s">
        <v>618</v>
      </c>
      <c r="J466" t="s">
        <v>3</v>
      </c>
      <c r="K466" t="s">
        <v>619</v>
      </c>
      <c r="L466">
        <v>1348</v>
      </c>
      <c r="N466">
        <v>1009</v>
      </c>
      <c r="O466" t="s">
        <v>34</v>
      </c>
      <c r="P466" t="s">
        <v>34</v>
      </c>
      <c r="Q466">
        <v>1000</v>
      </c>
      <c r="W466">
        <v>0</v>
      </c>
      <c r="X466">
        <v>-16342244</v>
      </c>
      <c r="Y466">
        <v>6.9999999999999999E-4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6.13</v>
      </c>
      <c r="AJ466">
        <v>1</v>
      </c>
      <c r="AK466">
        <v>1</v>
      </c>
      <c r="AL466">
        <v>1</v>
      </c>
      <c r="AN466">
        <v>0</v>
      </c>
      <c r="AO466">
        <v>0</v>
      </c>
      <c r="AP466">
        <v>0</v>
      </c>
      <c r="AQ466">
        <v>0</v>
      </c>
      <c r="AR466">
        <v>0</v>
      </c>
      <c r="AS466" t="s">
        <v>3</v>
      </c>
      <c r="AT466">
        <v>6.9999999999999999E-4</v>
      </c>
      <c r="AU466" t="s">
        <v>3</v>
      </c>
      <c r="AV466">
        <v>0</v>
      </c>
      <c r="AW466">
        <v>2</v>
      </c>
      <c r="AX466">
        <v>39478728</v>
      </c>
      <c r="AY466">
        <v>1</v>
      </c>
      <c r="AZ466">
        <v>0</v>
      </c>
      <c r="BA466">
        <v>432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Y466*Source!I255</f>
        <v>7.0000000000000007E-5</v>
      </c>
      <c r="CY466">
        <f t="shared" si="63"/>
        <v>0</v>
      </c>
      <c r="CZ466">
        <f t="shared" si="64"/>
        <v>0</v>
      </c>
      <c r="DA466">
        <f t="shared" si="65"/>
        <v>6.13</v>
      </c>
      <c r="DB466">
        <v>0</v>
      </c>
    </row>
    <row r="467" spans="1:106" x14ac:dyDescent="0.2">
      <c r="A467">
        <f>ROW(Source!A255)</f>
        <v>255</v>
      </c>
      <c r="B467">
        <v>39476960</v>
      </c>
      <c r="C467">
        <v>39478720</v>
      </c>
      <c r="D467">
        <v>36806623</v>
      </c>
      <c r="E467">
        <v>1</v>
      </c>
      <c r="F467">
        <v>1</v>
      </c>
      <c r="G467">
        <v>1</v>
      </c>
      <c r="H467">
        <v>3</v>
      </c>
      <c r="I467" t="s">
        <v>1214</v>
      </c>
      <c r="J467" t="s">
        <v>1215</v>
      </c>
      <c r="K467" t="s">
        <v>1216</v>
      </c>
      <c r="L467">
        <v>1348</v>
      </c>
      <c r="N467">
        <v>1009</v>
      </c>
      <c r="O467" t="s">
        <v>34</v>
      </c>
      <c r="P467" t="s">
        <v>34</v>
      </c>
      <c r="Q467">
        <v>1000</v>
      </c>
      <c r="W467">
        <v>0</v>
      </c>
      <c r="X467">
        <v>1529337430</v>
      </c>
      <c r="Y467">
        <v>2E-3</v>
      </c>
      <c r="AA467">
        <v>11254.68</v>
      </c>
      <c r="AB467">
        <v>0</v>
      </c>
      <c r="AC467">
        <v>0</v>
      </c>
      <c r="AD467">
        <v>0</v>
      </c>
      <c r="AE467">
        <v>1836</v>
      </c>
      <c r="AF467">
        <v>0</v>
      </c>
      <c r="AG467">
        <v>0</v>
      </c>
      <c r="AH467">
        <v>0</v>
      </c>
      <c r="AI467">
        <v>6.13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2E-3</v>
      </c>
      <c r="AU467" t="s">
        <v>3</v>
      </c>
      <c r="AV467">
        <v>0</v>
      </c>
      <c r="AW467">
        <v>2</v>
      </c>
      <c r="AX467">
        <v>39478729</v>
      </c>
      <c r="AY467">
        <v>1</v>
      </c>
      <c r="AZ467">
        <v>0</v>
      </c>
      <c r="BA467">
        <v>433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Y467*Source!I255</f>
        <v>2.0000000000000001E-4</v>
      </c>
      <c r="CY467">
        <f t="shared" si="63"/>
        <v>11254.68</v>
      </c>
      <c r="CZ467">
        <f t="shared" si="64"/>
        <v>1836</v>
      </c>
      <c r="DA467">
        <f t="shared" si="65"/>
        <v>6.13</v>
      </c>
      <c r="DB467">
        <v>0</v>
      </c>
    </row>
    <row r="468" spans="1:106" x14ac:dyDescent="0.2">
      <c r="A468">
        <f>ROW(Source!A255)</f>
        <v>255</v>
      </c>
      <c r="B468">
        <v>39476960</v>
      </c>
      <c r="C468">
        <v>39478720</v>
      </c>
      <c r="D468">
        <v>36838223</v>
      </c>
      <c r="E468">
        <v>1</v>
      </c>
      <c r="F468">
        <v>1</v>
      </c>
      <c r="G468">
        <v>1</v>
      </c>
      <c r="H468">
        <v>3</v>
      </c>
      <c r="I468" t="s">
        <v>1200</v>
      </c>
      <c r="J468" t="s">
        <v>1201</v>
      </c>
      <c r="K468" t="s">
        <v>1202</v>
      </c>
      <c r="L468">
        <v>1348</v>
      </c>
      <c r="N468">
        <v>1009</v>
      </c>
      <c r="O468" t="s">
        <v>34</v>
      </c>
      <c r="P468" t="s">
        <v>34</v>
      </c>
      <c r="Q468">
        <v>1000</v>
      </c>
      <c r="W468">
        <v>0</v>
      </c>
      <c r="X468">
        <v>570223526</v>
      </c>
      <c r="Y468">
        <v>4.0000000000000002E-4</v>
      </c>
      <c r="AA468">
        <v>92679.47</v>
      </c>
      <c r="AB468">
        <v>0</v>
      </c>
      <c r="AC468">
        <v>0</v>
      </c>
      <c r="AD468">
        <v>0</v>
      </c>
      <c r="AE468">
        <v>15119</v>
      </c>
      <c r="AF468">
        <v>0</v>
      </c>
      <c r="AG468">
        <v>0</v>
      </c>
      <c r="AH468">
        <v>0</v>
      </c>
      <c r="AI468">
        <v>6.13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4.0000000000000002E-4</v>
      </c>
      <c r="AU468" t="s">
        <v>3</v>
      </c>
      <c r="AV468">
        <v>0</v>
      </c>
      <c r="AW468">
        <v>2</v>
      </c>
      <c r="AX468">
        <v>39478730</v>
      </c>
      <c r="AY468">
        <v>1</v>
      </c>
      <c r="AZ468">
        <v>0</v>
      </c>
      <c r="BA468">
        <v>434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Y468*Source!I255</f>
        <v>4.0000000000000003E-5</v>
      </c>
      <c r="CY468">
        <f t="shared" si="63"/>
        <v>92679.47</v>
      </c>
      <c r="CZ468">
        <f t="shared" si="64"/>
        <v>15119</v>
      </c>
      <c r="DA468">
        <f t="shared" si="65"/>
        <v>6.13</v>
      </c>
      <c r="DB468">
        <v>0</v>
      </c>
    </row>
    <row r="469" spans="1:106" x14ac:dyDescent="0.2">
      <c r="A469">
        <f>ROW(Source!A255)</f>
        <v>255</v>
      </c>
      <c r="B469">
        <v>39476960</v>
      </c>
      <c r="C469">
        <v>39478720</v>
      </c>
      <c r="D469">
        <v>36838951</v>
      </c>
      <c r="E469">
        <v>1</v>
      </c>
      <c r="F469">
        <v>1</v>
      </c>
      <c r="G469">
        <v>1</v>
      </c>
      <c r="H469">
        <v>3</v>
      </c>
      <c r="I469" t="s">
        <v>1203</v>
      </c>
      <c r="J469" t="s">
        <v>1204</v>
      </c>
      <c r="K469" t="s">
        <v>1205</v>
      </c>
      <c r="L469">
        <v>1348</v>
      </c>
      <c r="N469">
        <v>1009</v>
      </c>
      <c r="O469" t="s">
        <v>34</v>
      </c>
      <c r="P469" t="s">
        <v>34</v>
      </c>
      <c r="Q469">
        <v>1000</v>
      </c>
      <c r="W469">
        <v>0</v>
      </c>
      <c r="X469">
        <v>-909021926</v>
      </c>
      <c r="Y469">
        <v>2.0000000000000001E-4</v>
      </c>
      <c r="AA469">
        <v>103903.5</v>
      </c>
      <c r="AB469">
        <v>0</v>
      </c>
      <c r="AC469">
        <v>0</v>
      </c>
      <c r="AD469">
        <v>0</v>
      </c>
      <c r="AE469">
        <v>16950</v>
      </c>
      <c r="AF469">
        <v>0</v>
      </c>
      <c r="AG469">
        <v>0</v>
      </c>
      <c r="AH469">
        <v>0</v>
      </c>
      <c r="AI469">
        <v>6.13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2.0000000000000001E-4</v>
      </c>
      <c r="AU469" t="s">
        <v>3</v>
      </c>
      <c r="AV469">
        <v>0</v>
      </c>
      <c r="AW469">
        <v>2</v>
      </c>
      <c r="AX469">
        <v>39478732</v>
      </c>
      <c r="AY469">
        <v>1</v>
      </c>
      <c r="AZ469">
        <v>0</v>
      </c>
      <c r="BA469">
        <v>436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Y469*Source!I255</f>
        <v>2.0000000000000002E-5</v>
      </c>
      <c r="CY469">
        <f t="shared" si="63"/>
        <v>103903.5</v>
      </c>
      <c r="CZ469">
        <f t="shared" si="64"/>
        <v>16950</v>
      </c>
      <c r="DA469">
        <f t="shared" si="65"/>
        <v>6.13</v>
      </c>
      <c r="DB469">
        <v>0</v>
      </c>
    </row>
    <row r="470" spans="1:106" x14ac:dyDescent="0.2">
      <c r="A470">
        <f>ROW(Source!A255)</f>
        <v>255</v>
      </c>
      <c r="B470">
        <v>39476960</v>
      </c>
      <c r="C470">
        <v>39478720</v>
      </c>
      <c r="D470">
        <v>36845994</v>
      </c>
      <c r="E470">
        <v>1</v>
      </c>
      <c r="F470">
        <v>1</v>
      </c>
      <c r="G470">
        <v>1</v>
      </c>
      <c r="H470">
        <v>3</v>
      </c>
      <c r="I470" t="s">
        <v>612</v>
      </c>
      <c r="J470" t="s">
        <v>614</v>
      </c>
      <c r="K470" t="s">
        <v>613</v>
      </c>
      <c r="L470">
        <v>1354</v>
      </c>
      <c r="N470">
        <v>1010</v>
      </c>
      <c r="O470" t="s">
        <v>415</v>
      </c>
      <c r="P470" t="s">
        <v>415</v>
      </c>
      <c r="Q470">
        <v>1</v>
      </c>
      <c r="W470">
        <v>0</v>
      </c>
      <c r="X470">
        <v>-1901315637</v>
      </c>
      <c r="Y470">
        <v>10</v>
      </c>
      <c r="AA470">
        <v>4861.7</v>
      </c>
      <c r="AB470">
        <v>0</v>
      </c>
      <c r="AC470">
        <v>0</v>
      </c>
      <c r="AD470">
        <v>0</v>
      </c>
      <c r="AE470">
        <v>793.1</v>
      </c>
      <c r="AF470">
        <v>0</v>
      </c>
      <c r="AG470">
        <v>0</v>
      </c>
      <c r="AH470">
        <v>0</v>
      </c>
      <c r="AI470">
        <v>6.13</v>
      </c>
      <c r="AJ470">
        <v>1</v>
      </c>
      <c r="AK470">
        <v>1</v>
      </c>
      <c r="AL470">
        <v>1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3</v>
      </c>
      <c r="AT470">
        <v>10</v>
      </c>
      <c r="AU470" t="s">
        <v>3</v>
      </c>
      <c r="AV470">
        <v>0</v>
      </c>
      <c r="AW470">
        <v>1</v>
      </c>
      <c r="AX470">
        <v>-1</v>
      </c>
      <c r="AY470">
        <v>0</v>
      </c>
      <c r="AZ470">
        <v>0</v>
      </c>
      <c r="BA470" t="s">
        <v>3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Y470*Source!I255</f>
        <v>1</v>
      </c>
      <c r="CY470">
        <f t="shared" si="63"/>
        <v>4861.7</v>
      </c>
      <c r="CZ470">
        <f t="shared" si="64"/>
        <v>793.1</v>
      </c>
      <c r="DA470">
        <f t="shared" si="65"/>
        <v>6.13</v>
      </c>
      <c r="DB470">
        <v>0</v>
      </c>
    </row>
    <row r="471" spans="1:106" x14ac:dyDescent="0.2">
      <c r="A471">
        <f>ROW(Source!A255)</f>
        <v>255</v>
      </c>
      <c r="B471">
        <v>39476960</v>
      </c>
      <c r="C471">
        <v>39478720</v>
      </c>
      <c r="D471">
        <v>36797696</v>
      </c>
      <c r="E471">
        <v>17</v>
      </c>
      <c r="F471">
        <v>1</v>
      </c>
      <c r="G471">
        <v>1</v>
      </c>
      <c r="H471">
        <v>3</v>
      </c>
      <c r="I471" t="s">
        <v>621</v>
      </c>
      <c r="J471" t="s">
        <v>3</v>
      </c>
      <c r="K471" t="s">
        <v>622</v>
      </c>
      <c r="L471">
        <v>1035</v>
      </c>
      <c r="N471">
        <v>1013</v>
      </c>
      <c r="O471" t="s">
        <v>152</v>
      </c>
      <c r="P471" t="s">
        <v>152</v>
      </c>
      <c r="Q471">
        <v>1</v>
      </c>
      <c r="W471">
        <v>0</v>
      </c>
      <c r="X471">
        <v>195171381</v>
      </c>
      <c r="Y471">
        <v>10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6.13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3</v>
      </c>
      <c r="AT471">
        <v>10</v>
      </c>
      <c r="AU471" t="s">
        <v>3</v>
      </c>
      <c r="AV471">
        <v>0</v>
      </c>
      <c r="AW471">
        <v>2</v>
      </c>
      <c r="AX471">
        <v>39478733</v>
      </c>
      <c r="AY471">
        <v>1</v>
      </c>
      <c r="AZ471">
        <v>0</v>
      </c>
      <c r="BA471">
        <v>437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Y471*Source!I255</f>
        <v>1</v>
      </c>
      <c r="CY471">
        <f t="shared" si="63"/>
        <v>0</v>
      </c>
      <c r="CZ471">
        <f t="shared" si="64"/>
        <v>0</v>
      </c>
      <c r="DA471">
        <f t="shared" si="65"/>
        <v>6.13</v>
      </c>
      <c r="DB471">
        <v>0</v>
      </c>
    </row>
    <row r="472" spans="1:106" x14ac:dyDescent="0.2">
      <c r="A472">
        <f>ROW(Source!A261)</f>
        <v>261</v>
      </c>
      <c r="B472">
        <v>39476960</v>
      </c>
      <c r="C472">
        <v>39478743</v>
      </c>
      <c r="D472">
        <v>37071037</v>
      </c>
      <c r="E472">
        <v>1</v>
      </c>
      <c r="F472">
        <v>1</v>
      </c>
      <c r="G472">
        <v>1</v>
      </c>
      <c r="H472">
        <v>1</v>
      </c>
      <c r="I472" t="s">
        <v>992</v>
      </c>
      <c r="J472" t="s">
        <v>3</v>
      </c>
      <c r="K472" t="s">
        <v>993</v>
      </c>
      <c r="L472">
        <v>1191</v>
      </c>
      <c r="N472">
        <v>1013</v>
      </c>
      <c r="O472" t="s">
        <v>796</v>
      </c>
      <c r="P472" t="s">
        <v>796</v>
      </c>
      <c r="Q472">
        <v>1</v>
      </c>
      <c r="W472">
        <v>0</v>
      </c>
      <c r="X472">
        <v>1069510174</v>
      </c>
      <c r="Y472">
        <v>12.102599999999997</v>
      </c>
      <c r="AA472">
        <v>0</v>
      </c>
      <c r="AB472">
        <v>0</v>
      </c>
      <c r="AC472">
        <v>0</v>
      </c>
      <c r="AD472">
        <v>58.97</v>
      </c>
      <c r="AE472">
        <v>0</v>
      </c>
      <c r="AF472">
        <v>0</v>
      </c>
      <c r="AG472">
        <v>0</v>
      </c>
      <c r="AH472">
        <v>9.6199999999999992</v>
      </c>
      <c r="AI472">
        <v>1</v>
      </c>
      <c r="AJ472">
        <v>1</v>
      </c>
      <c r="AK472">
        <v>1</v>
      </c>
      <c r="AL472">
        <v>6.13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8.77</v>
      </c>
      <c r="AU472" t="s">
        <v>54</v>
      </c>
      <c r="AV472">
        <v>1</v>
      </c>
      <c r="AW472">
        <v>2</v>
      </c>
      <c r="AX472">
        <v>39478744</v>
      </c>
      <c r="AY472">
        <v>1</v>
      </c>
      <c r="AZ472">
        <v>0</v>
      </c>
      <c r="BA472">
        <v>438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Y472*Source!I261</f>
        <v>2.4205199999999998</v>
      </c>
      <c r="CY472">
        <f>AD472</f>
        <v>58.97</v>
      </c>
      <c r="CZ472">
        <f>AH472</f>
        <v>9.6199999999999992</v>
      </c>
      <c r="DA472">
        <f>AL472</f>
        <v>6.13</v>
      </c>
      <c r="DB472">
        <v>0</v>
      </c>
    </row>
    <row r="473" spans="1:106" x14ac:dyDescent="0.2">
      <c r="A473">
        <f>ROW(Source!A261)</f>
        <v>261</v>
      </c>
      <c r="B473">
        <v>39476960</v>
      </c>
      <c r="C473">
        <v>39478743</v>
      </c>
      <c r="D473">
        <v>37064876</v>
      </c>
      <c r="E473">
        <v>1</v>
      </c>
      <c r="F473">
        <v>1</v>
      </c>
      <c r="G473">
        <v>1</v>
      </c>
      <c r="H473">
        <v>1</v>
      </c>
      <c r="I473" t="s">
        <v>797</v>
      </c>
      <c r="J473" t="s">
        <v>3</v>
      </c>
      <c r="K473" t="s">
        <v>798</v>
      </c>
      <c r="L473">
        <v>1191</v>
      </c>
      <c r="N473">
        <v>1013</v>
      </c>
      <c r="O473" t="s">
        <v>796</v>
      </c>
      <c r="P473" t="s">
        <v>796</v>
      </c>
      <c r="Q473">
        <v>1</v>
      </c>
      <c r="W473">
        <v>0</v>
      </c>
      <c r="X473">
        <v>-1417349443</v>
      </c>
      <c r="Y473">
        <v>0.28999999999999998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6.13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0.28999999999999998</v>
      </c>
      <c r="AU473" t="s">
        <v>3</v>
      </c>
      <c r="AV473">
        <v>2</v>
      </c>
      <c r="AW473">
        <v>2</v>
      </c>
      <c r="AX473">
        <v>39478745</v>
      </c>
      <c r="AY473">
        <v>1</v>
      </c>
      <c r="AZ473">
        <v>2048</v>
      </c>
      <c r="BA473">
        <v>439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Y473*Source!I261</f>
        <v>5.7999999999999996E-2</v>
      </c>
      <c r="CY473">
        <f>AD473</f>
        <v>0</v>
      </c>
      <c r="CZ473">
        <f>AH473</f>
        <v>0</v>
      </c>
      <c r="DA473">
        <f>AL473</f>
        <v>1</v>
      </c>
      <c r="DB473">
        <v>0</v>
      </c>
    </row>
    <row r="474" spans="1:106" x14ac:dyDescent="0.2">
      <c r="A474">
        <f>ROW(Source!A261)</f>
        <v>261</v>
      </c>
      <c r="B474">
        <v>39476960</v>
      </c>
      <c r="C474">
        <v>39478743</v>
      </c>
      <c r="D474">
        <v>36882452</v>
      </c>
      <c r="E474">
        <v>1</v>
      </c>
      <c r="F474">
        <v>1</v>
      </c>
      <c r="G474">
        <v>1</v>
      </c>
      <c r="H474">
        <v>2</v>
      </c>
      <c r="I474" t="s">
        <v>799</v>
      </c>
      <c r="J474" t="s">
        <v>800</v>
      </c>
      <c r="K474" t="s">
        <v>801</v>
      </c>
      <c r="L474">
        <v>1368</v>
      </c>
      <c r="N474">
        <v>1011</v>
      </c>
      <c r="O474" t="s">
        <v>802</v>
      </c>
      <c r="P474" t="s">
        <v>802</v>
      </c>
      <c r="Q474">
        <v>1</v>
      </c>
      <c r="W474">
        <v>0</v>
      </c>
      <c r="X474">
        <v>1188625873</v>
      </c>
      <c r="Y474">
        <v>0.15</v>
      </c>
      <c r="AA474">
        <v>0</v>
      </c>
      <c r="AB474">
        <v>191.62</v>
      </c>
      <c r="AC474">
        <v>13.5</v>
      </c>
      <c r="AD474">
        <v>0</v>
      </c>
      <c r="AE474">
        <v>0</v>
      </c>
      <c r="AF474">
        <v>31.26</v>
      </c>
      <c r="AG474">
        <v>13.5</v>
      </c>
      <c r="AH474">
        <v>0</v>
      </c>
      <c r="AI474">
        <v>1</v>
      </c>
      <c r="AJ474">
        <v>6.13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0.1</v>
      </c>
      <c r="AU474" t="s">
        <v>53</v>
      </c>
      <c r="AV474">
        <v>0</v>
      </c>
      <c r="AW474">
        <v>2</v>
      </c>
      <c r="AX474">
        <v>39478746</v>
      </c>
      <c r="AY474">
        <v>1</v>
      </c>
      <c r="AZ474">
        <v>0</v>
      </c>
      <c r="BA474">
        <v>440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Y474*Source!I261</f>
        <v>0.03</v>
      </c>
      <c r="CY474">
        <f>AB474</f>
        <v>191.62</v>
      </c>
      <c r="CZ474">
        <f>AF474</f>
        <v>31.26</v>
      </c>
      <c r="DA474">
        <f>AJ474</f>
        <v>6.13</v>
      </c>
      <c r="DB474">
        <v>0</v>
      </c>
    </row>
    <row r="475" spans="1:106" x14ac:dyDescent="0.2">
      <c r="A475">
        <f>ROW(Source!A261)</f>
        <v>261</v>
      </c>
      <c r="B475">
        <v>39476960</v>
      </c>
      <c r="C475">
        <v>39478743</v>
      </c>
      <c r="D475">
        <v>36883554</v>
      </c>
      <c r="E475">
        <v>1</v>
      </c>
      <c r="F475">
        <v>1</v>
      </c>
      <c r="G475">
        <v>1</v>
      </c>
      <c r="H475">
        <v>2</v>
      </c>
      <c r="I475" t="s">
        <v>834</v>
      </c>
      <c r="J475" t="s">
        <v>835</v>
      </c>
      <c r="K475" t="s">
        <v>836</v>
      </c>
      <c r="L475">
        <v>1368</v>
      </c>
      <c r="N475">
        <v>1011</v>
      </c>
      <c r="O475" t="s">
        <v>802</v>
      </c>
      <c r="P475" t="s">
        <v>802</v>
      </c>
      <c r="Q475">
        <v>1</v>
      </c>
      <c r="W475">
        <v>0</v>
      </c>
      <c r="X475">
        <v>1372534845</v>
      </c>
      <c r="Y475">
        <v>0.28499999999999998</v>
      </c>
      <c r="AA475">
        <v>0</v>
      </c>
      <c r="AB475">
        <v>402.8</v>
      </c>
      <c r="AC475">
        <v>11.6</v>
      </c>
      <c r="AD475">
        <v>0</v>
      </c>
      <c r="AE475">
        <v>0</v>
      </c>
      <c r="AF475">
        <v>65.709999999999994</v>
      </c>
      <c r="AG475">
        <v>11.6</v>
      </c>
      <c r="AH475">
        <v>0</v>
      </c>
      <c r="AI475">
        <v>1</v>
      </c>
      <c r="AJ475">
        <v>6.13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0.19</v>
      </c>
      <c r="AU475" t="s">
        <v>53</v>
      </c>
      <c r="AV475">
        <v>0</v>
      </c>
      <c r="AW475">
        <v>2</v>
      </c>
      <c r="AX475">
        <v>39478747</v>
      </c>
      <c r="AY475">
        <v>1</v>
      </c>
      <c r="AZ475">
        <v>0</v>
      </c>
      <c r="BA475">
        <v>441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Y475*Source!I261</f>
        <v>5.6999999999999995E-2</v>
      </c>
      <c r="CY475">
        <f>AB475</f>
        <v>402.8</v>
      </c>
      <c r="CZ475">
        <f>AF475</f>
        <v>65.709999999999994</v>
      </c>
      <c r="DA475">
        <f>AJ475</f>
        <v>6.13</v>
      </c>
      <c r="DB475">
        <v>0</v>
      </c>
    </row>
    <row r="476" spans="1:106" x14ac:dyDescent="0.2">
      <c r="A476">
        <f>ROW(Source!A261)</f>
        <v>261</v>
      </c>
      <c r="B476">
        <v>39476960</v>
      </c>
      <c r="C476">
        <v>39478743</v>
      </c>
      <c r="D476">
        <v>36802461</v>
      </c>
      <c r="E476">
        <v>1</v>
      </c>
      <c r="F476">
        <v>1</v>
      </c>
      <c r="G476">
        <v>1</v>
      </c>
      <c r="H476">
        <v>3</v>
      </c>
      <c r="I476" t="s">
        <v>1211</v>
      </c>
      <c r="J476" t="s">
        <v>1212</v>
      </c>
      <c r="K476" t="s">
        <v>1213</v>
      </c>
      <c r="L476">
        <v>1348</v>
      </c>
      <c r="N476">
        <v>1009</v>
      </c>
      <c r="O476" t="s">
        <v>34</v>
      </c>
      <c r="P476" t="s">
        <v>34</v>
      </c>
      <c r="Q476">
        <v>1000</v>
      </c>
      <c r="W476">
        <v>0</v>
      </c>
      <c r="X476">
        <v>-1699345571</v>
      </c>
      <c r="Y476">
        <v>1.1999999999999999E-3</v>
      </c>
      <c r="AA476">
        <v>184083.9</v>
      </c>
      <c r="AB476">
        <v>0</v>
      </c>
      <c r="AC476">
        <v>0</v>
      </c>
      <c r="AD476">
        <v>0</v>
      </c>
      <c r="AE476">
        <v>30030</v>
      </c>
      <c r="AF476">
        <v>0</v>
      </c>
      <c r="AG476">
        <v>0</v>
      </c>
      <c r="AH476">
        <v>0</v>
      </c>
      <c r="AI476">
        <v>6.13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1.1999999999999999E-3</v>
      </c>
      <c r="AU476" t="s">
        <v>3</v>
      </c>
      <c r="AV476">
        <v>0</v>
      </c>
      <c r="AW476">
        <v>2</v>
      </c>
      <c r="AX476">
        <v>39478748</v>
      </c>
      <c r="AY476">
        <v>1</v>
      </c>
      <c r="AZ476">
        <v>0</v>
      </c>
      <c r="BA476">
        <v>442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Y476*Source!I261</f>
        <v>2.3999999999999998E-4</v>
      </c>
      <c r="CY476">
        <f>AA476</f>
        <v>184083.9</v>
      </c>
      <c r="CZ476">
        <f>AE476</f>
        <v>30030</v>
      </c>
      <c r="DA476">
        <f>AI476</f>
        <v>6.13</v>
      </c>
      <c r="DB476">
        <v>0</v>
      </c>
    </row>
    <row r="477" spans="1:106" x14ac:dyDescent="0.2">
      <c r="A477">
        <f>ROW(Source!A261)</f>
        <v>261</v>
      </c>
      <c r="B477">
        <v>39476960</v>
      </c>
      <c r="C477">
        <v>39478743</v>
      </c>
      <c r="D477">
        <v>36806623</v>
      </c>
      <c r="E477">
        <v>1</v>
      </c>
      <c r="F477">
        <v>1</v>
      </c>
      <c r="G477">
        <v>1</v>
      </c>
      <c r="H477">
        <v>3</v>
      </c>
      <c r="I477" t="s">
        <v>1214</v>
      </c>
      <c r="J477" t="s">
        <v>1215</v>
      </c>
      <c r="K477" t="s">
        <v>1216</v>
      </c>
      <c r="L477">
        <v>1348</v>
      </c>
      <c r="N477">
        <v>1009</v>
      </c>
      <c r="O477" t="s">
        <v>34</v>
      </c>
      <c r="P477" t="s">
        <v>34</v>
      </c>
      <c r="Q477">
        <v>1000</v>
      </c>
      <c r="W477">
        <v>0</v>
      </c>
      <c r="X477">
        <v>1529337430</v>
      </c>
      <c r="Y477">
        <v>3.2000000000000002E-3</v>
      </c>
      <c r="AA477">
        <v>11254.68</v>
      </c>
      <c r="AB477">
        <v>0</v>
      </c>
      <c r="AC477">
        <v>0</v>
      </c>
      <c r="AD477">
        <v>0</v>
      </c>
      <c r="AE477">
        <v>1836</v>
      </c>
      <c r="AF477">
        <v>0</v>
      </c>
      <c r="AG477">
        <v>0</v>
      </c>
      <c r="AH477">
        <v>0</v>
      </c>
      <c r="AI477">
        <v>6.13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3.2000000000000002E-3</v>
      </c>
      <c r="AU477" t="s">
        <v>3</v>
      </c>
      <c r="AV477">
        <v>0</v>
      </c>
      <c r="AW477">
        <v>2</v>
      </c>
      <c r="AX477">
        <v>39478749</v>
      </c>
      <c r="AY477">
        <v>1</v>
      </c>
      <c r="AZ477">
        <v>0</v>
      </c>
      <c r="BA477">
        <v>443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Y477*Source!I261</f>
        <v>6.4000000000000005E-4</v>
      </c>
      <c r="CY477">
        <f>AA477</f>
        <v>11254.68</v>
      </c>
      <c r="CZ477">
        <f>AE477</f>
        <v>1836</v>
      </c>
      <c r="DA477">
        <f>AI477</f>
        <v>6.13</v>
      </c>
      <c r="DB477">
        <v>0</v>
      </c>
    </row>
    <row r="478" spans="1:106" x14ac:dyDescent="0.2">
      <c r="A478">
        <f>ROW(Source!A261)</f>
        <v>261</v>
      </c>
      <c r="B478">
        <v>39476960</v>
      </c>
      <c r="C478">
        <v>39478743</v>
      </c>
      <c r="D478">
        <v>36846463</v>
      </c>
      <c r="E478">
        <v>1</v>
      </c>
      <c r="F478">
        <v>1</v>
      </c>
      <c r="G478">
        <v>1</v>
      </c>
      <c r="H478">
        <v>3</v>
      </c>
      <c r="I478" t="s">
        <v>628</v>
      </c>
      <c r="J478" t="s">
        <v>630</v>
      </c>
      <c r="K478" t="s">
        <v>629</v>
      </c>
      <c r="L478">
        <v>1354</v>
      </c>
      <c r="N478">
        <v>1010</v>
      </c>
      <c r="O478" t="s">
        <v>415</v>
      </c>
      <c r="P478" t="s">
        <v>415</v>
      </c>
      <c r="Q478">
        <v>1</v>
      </c>
      <c r="W478">
        <v>0</v>
      </c>
      <c r="X478">
        <v>805099624</v>
      </c>
      <c r="Y478">
        <v>10</v>
      </c>
      <c r="AA478">
        <v>5034.6899999999996</v>
      </c>
      <c r="AB478">
        <v>0</v>
      </c>
      <c r="AC478">
        <v>0</v>
      </c>
      <c r="AD478">
        <v>0</v>
      </c>
      <c r="AE478">
        <v>821.32</v>
      </c>
      <c r="AF478">
        <v>0</v>
      </c>
      <c r="AG478">
        <v>0</v>
      </c>
      <c r="AH478">
        <v>0</v>
      </c>
      <c r="AI478">
        <v>6.13</v>
      </c>
      <c r="AJ478">
        <v>1</v>
      </c>
      <c r="AK478">
        <v>1</v>
      </c>
      <c r="AL478">
        <v>1</v>
      </c>
      <c r="AN478">
        <v>0</v>
      </c>
      <c r="AO478">
        <v>0</v>
      </c>
      <c r="AP478">
        <v>0</v>
      </c>
      <c r="AQ478">
        <v>0</v>
      </c>
      <c r="AR478">
        <v>0</v>
      </c>
      <c r="AS478" t="s">
        <v>3</v>
      </c>
      <c r="AT478">
        <v>10</v>
      </c>
      <c r="AU478" t="s">
        <v>3</v>
      </c>
      <c r="AV478">
        <v>0</v>
      </c>
      <c r="AW478">
        <v>1</v>
      </c>
      <c r="AX478">
        <v>-1</v>
      </c>
      <c r="AY478">
        <v>0</v>
      </c>
      <c r="AZ478">
        <v>0</v>
      </c>
      <c r="BA478" t="s">
        <v>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Y478*Source!I261</f>
        <v>2</v>
      </c>
      <c r="CY478">
        <f>AA478</f>
        <v>5034.6899999999996</v>
      </c>
      <c r="CZ478">
        <f>AE478</f>
        <v>821.32</v>
      </c>
      <c r="DA478">
        <f>AI478</f>
        <v>6.13</v>
      </c>
      <c r="DB478">
        <v>0</v>
      </c>
    </row>
    <row r="479" spans="1:106" x14ac:dyDescent="0.2">
      <c r="A479">
        <f>ROW(Source!A261)</f>
        <v>261</v>
      </c>
      <c r="B479">
        <v>39476960</v>
      </c>
      <c r="C479">
        <v>39478743</v>
      </c>
      <c r="D479">
        <v>36797696</v>
      </c>
      <c r="E479">
        <v>17</v>
      </c>
      <c r="F479">
        <v>1</v>
      </c>
      <c r="G479">
        <v>1</v>
      </c>
      <c r="H479">
        <v>3</v>
      </c>
      <c r="I479" t="s">
        <v>621</v>
      </c>
      <c r="J479" t="s">
        <v>3</v>
      </c>
      <c r="K479" t="s">
        <v>622</v>
      </c>
      <c r="L479">
        <v>1035</v>
      </c>
      <c r="N479">
        <v>1013</v>
      </c>
      <c r="O479" t="s">
        <v>152</v>
      </c>
      <c r="P479" t="s">
        <v>152</v>
      </c>
      <c r="Q479">
        <v>1</v>
      </c>
      <c r="W479">
        <v>0</v>
      </c>
      <c r="X479">
        <v>195171381</v>
      </c>
      <c r="Y479">
        <v>10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6.13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3</v>
      </c>
      <c r="AT479">
        <v>10</v>
      </c>
      <c r="AU479" t="s">
        <v>3</v>
      </c>
      <c r="AV479">
        <v>0</v>
      </c>
      <c r="AW479">
        <v>2</v>
      </c>
      <c r="AX479">
        <v>39478750</v>
      </c>
      <c r="AY479">
        <v>1</v>
      </c>
      <c r="AZ479">
        <v>0</v>
      </c>
      <c r="BA479">
        <v>444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Y479*Source!I261</f>
        <v>2</v>
      </c>
      <c r="CY479">
        <f>AA479</f>
        <v>0</v>
      </c>
      <c r="CZ479">
        <f>AE479</f>
        <v>0</v>
      </c>
      <c r="DA479">
        <f>AI479</f>
        <v>6.13</v>
      </c>
      <c r="DB479">
        <v>0</v>
      </c>
    </row>
    <row r="480" spans="1:106" x14ac:dyDescent="0.2">
      <c r="A480">
        <f>ROW(Source!A264)</f>
        <v>264</v>
      </c>
      <c r="B480">
        <v>39476960</v>
      </c>
      <c r="C480">
        <v>39478752</v>
      </c>
      <c r="D480">
        <v>37070202</v>
      </c>
      <c r="E480">
        <v>1</v>
      </c>
      <c r="F480">
        <v>1</v>
      </c>
      <c r="G480">
        <v>1</v>
      </c>
      <c r="H480">
        <v>1</v>
      </c>
      <c r="I480" t="s">
        <v>1137</v>
      </c>
      <c r="J480" t="s">
        <v>3</v>
      </c>
      <c r="K480" t="s">
        <v>1138</v>
      </c>
      <c r="L480">
        <v>1191</v>
      </c>
      <c r="N480">
        <v>1013</v>
      </c>
      <c r="O480" t="s">
        <v>796</v>
      </c>
      <c r="P480" t="s">
        <v>796</v>
      </c>
      <c r="Q480">
        <v>1</v>
      </c>
      <c r="W480">
        <v>0</v>
      </c>
      <c r="X480">
        <v>1983201532</v>
      </c>
      <c r="Y480">
        <v>34.0032</v>
      </c>
      <c r="AA480">
        <v>0</v>
      </c>
      <c r="AB480">
        <v>0</v>
      </c>
      <c r="AC480">
        <v>0</v>
      </c>
      <c r="AD480">
        <v>58.3</v>
      </c>
      <c r="AE480">
        <v>0</v>
      </c>
      <c r="AF480">
        <v>0</v>
      </c>
      <c r="AG480">
        <v>0</v>
      </c>
      <c r="AH480">
        <v>9.51</v>
      </c>
      <c r="AI480">
        <v>1</v>
      </c>
      <c r="AJ480">
        <v>1</v>
      </c>
      <c r="AK480">
        <v>1</v>
      </c>
      <c r="AL480">
        <v>6.13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3</v>
      </c>
      <c r="AT480">
        <v>24.64</v>
      </c>
      <c r="AU480" t="s">
        <v>54</v>
      </c>
      <c r="AV480">
        <v>1</v>
      </c>
      <c r="AW480">
        <v>2</v>
      </c>
      <c r="AX480">
        <v>39478753</v>
      </c>
      <c r="AY480">
        <v>1</v>
      </c>
      <c r="AZ480">
        <v>0</v>
      </c>
      <c r="BA480">
        <v>445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Y480*Source!I264</f>
        <v>3.4003200000000002</v>
      </c>
      <c r="CY480">
        <f>AD480</f>
        <v>58.3</v>
      </c>
      <c r="CZ480">
        <f>AH480</f>
        <v>9.51</v>
      </c>
      <c r="DA480">
        <f>AL480</f>
        <v>6.13</v>
      </c>
      <c r="DB480">
        <v>0</v>
      </c>
    </row>
    <row r="481" spans="1:106" x14ac:dyDescent="0.2">
      <c r="A481">
        <f>ROW(Source!A264)</f>
        <v>264</v>
      </c>
      <c r="B481">
        <v>39476960</v>
      </c>
      <c r="C481">
        <v>39478752</v>
      </c>
      <c r="D481">
        <v>37064876</v>
      </c>
      <c r="E481">
        <v>1</v>
      </c>
      <c r="F481">
        <v>1</v>
      </c>
      <c r="G481">
        <v>1</v>
      </c>
      <c r="H481">
        <v>1</v>
      </c>
      <c r="I481" t="s">
        <v>797</v>
      </c>
      <c r="J481" t="s">
        <v>3</v>
      </c>
      <c r="K481" t="s">
        <v>798</v>
      </c>
      <c r="L481">
        <v>1191</v>
      </c>
      <c r="N481">
        <v>1013</v>
      </c>
      <c r="O481" t="s">
        <v>796</v>
      </c>
      <c r="P481" t="s">
        <v>796</v>
      </c>
      <c r="Q481">
        <v>1</v>
      </c>
      <c r="W481">
        <v>0</v>
      </c>
      <c r="X481">
        <v>-1417349443</v>
      </c>
      <c r="Y481">
        <v>0.71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6.13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0.71</v>
      </c>
      <c r="AU481" t="s">
        <v>3</v>
      </c>
      <c r="AV481">
        <v>2</v>
      </c>
      <c r="AW481">
        <v>2</v>
      </c>
      <c r="AX481">
        <v>39478754</v>
      </c>
      <c r="AY481">
        <v>1</v>
      </c>
      <c r="AZ481">
        <v>2048</v>
      </c>
      <c r="BA481">
        <v>446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Y481*Source!I264</f>
        <v>7.0999999999999994E-2</v>
      </c>
      <c r="CY481">
        <f>AD481</f>
        <v>0</v>
      </c>
      <c r="CZ481">
        <f>AH481</f>
        <v>0</v>
      </c>
      <c r="DA481">
        <f>AL481</f>
        <v>1</v>
      </c>
      <c r="DB481">
        <v>0</v>
      </c>
    </row>
    <row r="482" spans="1:106" x14ac:dyDescent="0.2">
      <c r="A482">
        <f>ROW(Source!A264)</f>
        <v>264</v>
      </c>
      <c r="B482">
        <v>39476960</v>
      </c>
      <c r="C482">
        <v>39478752</v>
      </c>
      <c r="D482">
        <v>36882452</v>
      </c>
      <c r="E482">
        <v>1</v>
      </c>
      <c r="F482">
        <v>1</v>
      </c>
      <c r="G482">
        <v>1</v>
      </c>
      <c r="H482">
        <v>2</v>
      </c>
      <c r="I482" t="s">
        <v>799</v>
      </c>
      <c r="J482" t="s">
        <v>800</v>
      </c>
      <c r="K482" t="s">
        <v>801</v>
      </c>
      <c r="L482">
        <v>1368</v>
      </c>
      <c r="N482">
        <v>1011</v>
      </c>
      <c r="O482" t="s">
        <v>802</v>
      </c>
      <c r="P482" t="s">
        <v>802</v>
      </c>
      <c r="Q482">
        <v>1</v>
      </c>
      <c r="W482">
        <v>0</v>
      </c>
      <c r="X482">
        <v>1188625873</v>
      </c>
      <c r="Y482">
        <v>0.48</v>
      </c>
      <c r="AA482">
        <v>0</v>
      </c>
      <c r="AB482">
        <v>191.62</v>
      </c>
      <c r="AC482">
        <v>13.5</v>
      </c>
      <c r="AD482">
        <v>0</v>
      </c>
      <c r="AE482">
        <v>0</v>
      </c>
      <c r="AF482">
        <v>31.26</v>
      </c>
      <c r="AG482">
        <v>13.5</v>
      </c>
      <c r="AH482">
        <v>0</v>
      </c>
      <c r="AI482">
        <v>1</v>
      </c>
      <c r="AJ482">
        <v>6.13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3</v>
      </c>
      <c r="AT482">
        <v>0.32</v>
      </c>
      <c r="AU482" t="s">
        <v>53</v>
      </c>
      <c r="AV482">
        <v>0</v>
      </c>
      <c r="AW482">
        <v>2</v>
      </c>
      <c r="AX482">
        <v>39478755</v>
      </c>
      <c r="AY482">
        <v>1</v>
      </c>
      <c r="AZ482">
        <v>0</v>
      </c>
      <c r="BA482">
        <v>447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Y482*Source!I264</f>
        <v>4.8000000000000001E-2</v>
      </c>
      <c r="CY482">
        <f>AB482</f>
        <v>191.62</v>
      </c>
      <c r="CZ482">
        <f>AF482</f>
        <v>31.26</v>
      </c>
      <c r="DA482">
        <f>AJ482</f>
        <v>6.13</v>
      </c>
      <c r="DB482">
        <v>0</v>
      </c>
    </row>
    <row r="483" spans="1:106" x14ac:dyDescent="0.2">
      <c r="A483">
        <f>ROW(Source!A264)</f>
        <v>264</v>
      </c>
      <c r="B483">
        <v>39476960</v>
      </c>
      <c r="C483">
        <v>39478752</v>
      </c>
      <c r="D483">
        <v>36883554</v>
      </c>
      <c r="E483">
        <v>1</v>
      </c>
      <c r="F483">
        <v>1</v>
      </c>
      <c r="G483">
        <v>1</v>
      </c>
      <c r="H483">
        <v>2</v>
      </c>
      <c r="I483" t="s">
        <v>834</v>
      </c>
      <c r="J483" t="s">
        <v>835</v>
      </c>
      <c r="K483" t="s">
        <v>836</v>
      </c>
      <c r="L483">
        <v>1368</v>
      </c>
      <c r="N483">
        <v>1011</v>
      </c>
      <c r="O483" t="s">
        <v>802</v>
      </c>
      <c r="P483" t="s">
        <v>802</v>
      </c>
      <c r="Q483">
        <v>1</v>
      </c>
      <c r="W483">
        <v>0</v>
      </c>
      <c r="X483">
        <v>1372534845</v>
      </c>
      <c r="Y483">
        <v>0.58500000000000008</v>
      </c>
      <c r="AA483">
        <v>0</v>
      </c>
      <c r="AB483">
        <v>402.8</v>
      </c>
      <c r="AC483">
        <v>11.6</v>
      </c>
      <c r="AD483">
        <v>0</v>
      </c>
      <c r="AE483">
        <v>0</v>
      </c>
      <c r="AF483">
        <v>65.709999999999994</v>
      </c>
      <c r="AG483">
        <v>11.6</v>
      </c>
      <c r="AH483">
        <v>0</v>
      </c>
      <c r="AI483">
        <v>1</v>
      </c>
      <c r="AJ483">
        <v>6.13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0.39</v>
      </c>
      <c r="AU483" t="s">
        <v>53</v>
      </c>
      <c r="AV483">
        <v>0</v>
      </c>
      <c r="AW483">
        <v>2</v>
      </c>
      <c r="AX483">
        <v>39478756</v>
      </c>
      <c r="AY483">
        <v>1</v>
      </c>
      <c r="AZ483">
        <v>0</v>
      </c>
      <c r="BA483">
        <v>448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Y483*Source!I264</f>
        <v>5.850000000000001E-2</v>
      </c>
      <c r="CY483">
        <f>AB483</f>
        <v>402.8</v>
      </c>
      <c r="CZ483">
        <f>AF483</f>
        <v>65.709999999999994</v>
      </c>
      <c r="DA483">
        <f>AJ483</f>
        <v>6.13</v>
      </c>
      <c r="DB483">
        <v>0</v>
      </c>
    </row>
    <row r="484" spans="1:106" x14ac:dyDescent="0.2">
      <c r="A484">
        <f>ROW(Source!A264)</f>
        <v>264</v>
      </c>
      <c r="B484">
        <v>39476960</v>
      </c>
      <c r="C484">
        <v>39478752</v>
      </c>
      <c r="D484">
        <v>36802461</v>
      </c>
      <c r="E484">
        <v>1</v>
      </c>
      <c r="F484">
        <v>1</v>
      </c>
      <c r="G484">
        <v>1</v>
      </c>
      <c r="H484">
        <v>3</v>
      </c>
      <c r="I484" t="s">
        <v>1211</v>
      </c>
      <c r="J484" t="s">
        <v>1212</v>
      </c>
      <c r="K484" t="s">
        <v>1213</v>
      </c>
      <c r="L484">
        <v>1348</v>
      </c>
      <c r="N484">
        <v>1009</v>
      </c>
      <c r="O484" t="s">
        <v>34</v>
      </c>
      <c r="P484" t="s">
        <v>34</v>
      </c>
      <c r="Q484">
        <v>1000</v>
      </c>
      <c r="W484">
        <v>0</v>
      </c>
      <c r="X484">
        <v>-1699345571</v>
      </c>
      <c r="Y484">
        <v>1E-3</v>
      </c>
      <c r="AA484">
        <v>184083.9</v>
      </c>
      <c r="AB484">
        <v>0</v>
      </c>
      <c r="AC484">
        <v>0</v>
      </c>
      <c r="AD484">
        <v>0</v>
      </c>
      <c r="AE484">
        <v>30030</v>
      </c>
      <c r="AF484">
        <v>0</v>
      </c>
      <c r="AG484">
        <v>0</v>
      </c>
      <c r="AH484">
        <v>0</v>
      </c>
      <c r="AI484">
        <v>6.13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1E-3</v>
      </c>
      <c r="AU484" t="s">
        <v>3</v>
      </c>
      <c r="AV484">
        <v>0</v>
      </c>
      <c r="AW484">
        <v>2</v>
      </c>
      <c r="AX484">
        <v>39478757</v>
      </c>
      <c r="AY484">
        <v>1</v>
      </c>
      <c r="AZ484">
        <v>0</v>
      </c>
      <c r="BA484">
        <v>449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Y484*Source!I264</f>
        <v>1E-4</v>
      </c>
      <c r="CY484">
        <f t="shared" ref="CY484:CY496" si="66">AA484</f>
        <v>184083.9</v>
      </c>
      <c r="CZ484">
        <f t="shared" ref="CZ484:CZ496" si="67">AE484</f>
        <v>30030</v>
      </c>
      <c r="DA484">
        <f t="shared" ref="DA484:DA496" si="68">AI484</f>
        <v>6.13</v>
      </c>
      <c r="DB484">
        <v>0</v>
      </c>
    </row>
    <row r="485" spans="1:106" x14ac:dyDescent="0.2">
      <c r="A485">
        <f>ROW(Source!A264)</f>
        <v>264</v>
      </c>
      <c r="B485">
        <v>39476960</v>
      </c>
      <c r="C485">
        <v>39478752</v>
      </c>
      <c r="D485">
        <v>36802469</v>
      </c>
      <c r="E485">
        <v>1</v>
      </c>
      <c r="F485">
        <v>1</v>
      </c>
      <c r="G485">
        <v>1</v>
      </c>
      <c r="H485">
        <v>3</v>
      </c>
      <c r="I485" t="s">
        <v>1197</v>
      </c>
      <c r="J485" t="s">
        <v>1198</v>
      </c>
      <c r="K485" t="s">
        <v>1199</v>
      </c>
      <c r="L485">
        <v>1346</v>
      </c>
      <c r="N485">
        <v>1009</v>
      </c>
      <c r="O485" t="s">
        <v>217</v>
      </c>
      <c r="P485" t="s">
        <v>217</v>
      </c>
      <c r="Q485">
        <v>1</v>
      </c>
      <c r="W485">
        <v>0</v>
      </c>
      <c r="X485">
        <v>-490687590</v>
      </c>
      <c r="Y485">
        <v>0.04</v>
      </c>
      <c r="AA485">
        <v>228.59</v>
      </c>
      <c r="AB485">
        <v>0</v>
      </c>
      <c r="AC485">
        <v>0</v>
      </c>
      <c r="AD485">
        <v>0</v>
      </c>
      <c r="AE485">
        <v>37.29</v>
      </c>
      <c r="AF485">
        <v>0</v>
      </c>
      <c r="AG485">
        <v>0</v>
      </c>
      <c r="AH485">
        <v>0</v>
      </c>
      <c r="AI485">
        <v>6.13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0.04</v>
      </c>
      <c r="AU485" t="s">
        <v>3</v>
      </c>
      <c r="AV485">
        <v>0</v>
      </c>
      <c r="AW485">
        <v>2</v>
      </c>
      <c r="AX485">
        <v>39478758</v>
      </c>
      <c r="AY485">
        <v>1</v>
      </c>
      <c r="AZ485">
        <v>0</v>
      </c>
      <c r="BA485">
        <v>450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Y485*Source!I264</f>
        <v>4.0000000000000001E-3</v>
      </c>
      <c r="CY485">
        <f t="shared" si="66"/>
        <v>228.59</v>
      </c>
      <c r="CZ485">
        <f t="shared" si="67"/>
        <v>37.29</v>
      </c>
      <c r="DA485">
        <f t="shared" si="68"/>
        <v>6.13</v>
      </c>
      <c r="DB485">
        <v>0</v>
      </c>
    </row>
    <row r="486" spans="1:106" x14ac:dyDescent="0.2">
      <c r="A486">
        <f>ROW(Source!A264)</f>
        <v>264</v>
      </c>
      <c r="B486">
        <v>39476960</v>
      </c>
      <c r="C486">
        <v>39478752</v>
      </c>
      <c r="D486">
        <v>36797518</v>
      </c>
      <c r="E486">
        <v>17</v>
      </c>
      <c r="F486">
        <v>1</v>
      </c>
      <c r="G486">
        <v>1</v>
      </c>
      <c r="H486">
        <v>3</v>
      </c>
      <c r="I486" t="s">
        <v>592</v>
      </c>
      <c r="J486" t="s">
        <v>3</v>
      </c>
      <c r="K486" t="s">
        <v>593</v>
      </c>
      <c r="L486">
        <v>1358</v>
      </c>
      <c r="N486">
        <v>1010</v>
      </c>
      <c r="O486" t="s">
        <v>160</v>
      </c>
      <c r="P486" t="s">
        <v>160</v>
      </c>
      <c r="Q486">
        <v>10</v>
      </c>
      <c r="W486">
        <v>0</v>
      </c>
      <c r="X486">
        <v>488433216</v>
      </c>
      <c r="Y486">
        <v>4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6.13</v>
      </c>
      <c r="AJ486">
        <v>1</v>
      </c>
      <c r="AK486">
        <v>1</v>
      </c>
      <c r="AL486">
        <v>1</v>
      </c>
      <c r="AN486">
        <v>0</v>
      </c>
      <c r="AO486">
        <v>0</v>
      </c>
      <c r="AP486">
        <v>0</v>
      </c>
      <c r="AQ486">
        <v>0</v>
      </c>
      <c r="AR486">
        <v>0</v>
      </c>
      <c r="AS486" t="s">
        <v>3</v>
      </c>
      <c r="AT486">
        <v>4</v>
      </c>
      <c r="AU486" t="s">
        <v>3</v>
      </c>
      <c r="AV486">
        <v>0</v>
      </c>
      <c r="AW486">
        <v>2</v>
      </c>
      <c r="AX486">
        <v>39478759</v>
      </c>
      <c r="AY486">
        <v>1</v>
      </c>
      <c r="AZ486">
        <v>0</v>
      </c>
      <c r="BA486">
        <v>451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Y486*Source!I264</f>
        <v>0.4</v>
      </c>
      <c r="CY486">
        <f t="shared" si="66"/>
        <v>0</v>
      </c>
      <c r="CZ486">
        <f t="shared" si="67"/>
        <v>0</v>
      </c>
      <c r="DA486">
        <f t="shared" si="68"/>
        <v>6.13</v>
      </c>
      <c r="DB486">
        <v>0</v>
      </c>
    </row>
    <row r="487" spans="1:106" x14ac:dyDescent="0.2">
      <c r="A487">
        <f>ROW(Source!A264)</f>
        <v>264</v>
      </c>
      <c r="B487">
        <v>39476960</v>
      </c>
      <c r="C487">
        <v>39478752</v>
      </c>
      <c r="D487">
        <v>36804575</v>
      </c>
      <c r="E487">
        <v>1</v>
      </c>
      <c r="F487">
        <v>1</v>
      </c>
      <c r="G487">
        <v>1</v>
      </c>
      <c r="H487">
        <v>3</v>
      </c>
      <c r="I487" t="s">
        <v>572</v>
      </c>
      <c r="J487" t="s">
        <v>574</v>
      </c>
      <c r="K487" t="s">
        <v>573</v>
      </c>
      <c r="L487">
        <v>1355</v>
      </c>
      <c r="N487">
        <v>1010</v>
      </c>
      <c r="O487" t="s">
        <v>429</v>
      </c>
      <c r="P487" t="s">
        <v>429</v>
      </c>
      <c r="Q487">
        <v>100</v>
      </c>
      <c r="W487">
        <v>0</v>
      </c>
      <c r="X487">
        <v>-1390362517</v>
      </c>
      <c r="Y487">
        <v>0.4</v>
      </c>
      <c r="AA487">
        <v>181.45</v>
      </c>
      <c r="AB487">
        <v>0</v>
      </c>
      <c r="AC487">
        <v>0</v>
      </c>
      <c r="AD487">
        <v>0</v>
      </c>
      <c r="AE487">
        <v>29.6</v>
      </c>
      <c r="AF487">
        <v>0</v>
      </c>
      <c r="AG487">
        <v>0</v>
      </c>
      <c r="AH487">
        <v>0</v>
      </c>
      <c r="AI487">
        <v>6.13</v>
      </c>
      <c r="AJ487">
        <v>1</v>
      </c>
      <c r="AK487">
        <v>1</v>
      </c>
      <c r="AL487">
        <v>1</v>
      </c>
      <c r="AN487">
        <v>0</v>
      </c>
      <c r="AO487">
        <v>0</v>
      </c>
      <c r="AP487">
        <v>0</v>
      </c>
      <c r="AQ487">
        <v>0</v>
      </c>
      <c r="AR487">
        <v>0</v>
      </c>
      <c r="AS487" t="s">
        <v>3</v>
      </c>
      <c r="AT487">
        <v>0.4</v>
      </c>
      <c r="AU487" t="s">
        <v>3</v>
      </c>
      <c r="AV487">
        <v>0</v>
      </c>
      <c r="AW487">
        <v>1</v>
      </c>
      <c r="AX487">
        <v>-1</v>
      </c>
      <c r="AY487">
        <v>0</v>
      </c>
      <c r="AZ487">
        <v>0</v>
      </c>
      <c r="BA487" t="s">
        <v>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Y487*Source!I264</f>
        <v>4.0000000000000008E-2</v>
      </c>
      <c r="CY487">
        <f t="shared" si="66"/>
        <v>181.45</v>
      </c>
      <c r="CZ487">
        <f t="shared" si="67"/>
        <v>29.6</v>
      </c>
      <c r="DA487">
        <f t="shared" si="68"/>
        <v>6.13</v>
      </c>
      <c r="DB487">
        <v>0</v>
      </c>
    </row>
    <row r="488" spans="1:106" x14ac:dyDescent="0.2">
      <c r="A488">
        <f>ROW(Source!A264)</f>
        <v>264</v>
      </c>
      <c r="B488">
        <v>39476960</v>
      </c>
      <c r="C488">
        <v>39478752</v>
      </c>
      <c r="D488">
        <v>36804719</v>
      </c>
      <c r="E488">
        <v>1</v>
      </c>
      <c r="F488">
        <v>1</v>
      </c>
      <c r="G488">
        <v>1</v>
      </c>
      <c r="H488">
        <v>3</v>
      </c>
      <c r="I488" t="s">
        <v>1217</v>
      </c>
      <c r="J488" t="s">
        <v>1218</v>
      </c>
      <c r="K488" t="s">
        <v>1219</v>
      </c>
      <c r="L488">
        <v>1346</v>
      </c>
      <c r="N488">
        <v>1009</v>
      </c>
      <c r="O488" t="s">
        <v>217</v>
      </c>
      <c r="P488" t="s">
        <v>217</v>
      </c>
      <c r="Q488">
        <v>1</v>
      </c>
      <c r="W488">
        <v>0</v>
      </c>
      <c r="X488">
        <v>686856996</v>
      </c>
      <c r="Y488">
        <v>20</v>
      </c>
      <c r="AA488">
        <v>39.85</v>
      </c>
      <c r="AB488">
        <v>0</v>
      </c>
      <c r="AC488">
        <v>0</v>
      </c>
      <c r="AD488">
        <v>0</v>
      </c>
      <c r="AE488">
        <v>6.5</v>
      </c>
      <c r="AF488">
        <v>0</v>
      </c>
      <c r="AG488">
        <v>0</v>
      </c>
      <c r="AH488">
        <v>0</v>
      </c>
      <c r="AI488">
        <v>6.13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20</v>
      </c>
      <c r="AU488" t="s">
        <v>3</v>
      </c>
      <c r="AV488">
        <v>0</v>
      </c>
      <c r="AW488">
        <v>2</v>
      </c>
      <c r="AX488">
        <v>39478760</v>
      </c>
      <c r="AY488">
        <v>1</v>
      </c>
      <c r="AZ488">
        <v>0</v>
      </c>
      <c r="BA488">
        <v>452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Y488*Source!I264</f>
        <v>2</v>
      </c>
      <c r="CY488">
        <f t="shared" si="66"/>
        <v>39.85</v>
      </c>
      <c r="CZ488">
        <f t="shared" si="67"/>
        <v>6.5</v>
      </c>
      <c r="DA488">
        <f t="shared" si="68"/>
        <v>6.13</v>
      </c>
      <c r="DB488">
        <v>0</v>
      </c>
    </row>
    <row r="489" spans="1:106" x14ac:dyDescent="0.2">
      <c r="A489">
        <f>ROW(Source!A264)</f>
        <v>264</v>
      </c>
      <c r="B489">
        <v>39476960</v>
      </c>
      <c r="C489">
        <v>39478752</v>
      </c>
      <c r="D489">
        <v>36796579</v>
      </c>
      <c r="E489">
        <v>17</v>
      </c>
      <c r="F489">
        <v>1</v>
      </c>
      <c r="G489">
        <v>1</v>
      </c>
      <c r="H489">
        <v>3</v>
      </c>
      <c r="I489" t="s">
        <v>618</v>
      </c>
      <c r="J489" t="s">
        <v>3</v>
      </c>
      <c r="K489" t="s">
        <v>619</v>
      </c>
      <c r="L489">
        <v>1348</v>
      </c>
      <c r="N489">
        <v>1009</v>
      </c>
      <c r="O489" t="s">
        <v>34</v>
      </c>
      <c r="P489" t="s">
        <v>34</v>
      </c>
      <c r="Q489">
        <v>1000</v>
      </c>
      <c r="W489">
        <v>0</v>
      </c>
      <c r="X489">
        <v>-16342244</v>
      </c>
      <c r="Y489">
        <v>5.0000000000000001E-4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6.13</v>
      </c>
      <c r="AJ489">
        <v>1</v>
      </c>
      <c r="AK489">
        <v>1</v>
      </c>
      <c r="AL489">
        <v>1</v>
      </c>
      <c r="AN489">
        <v>0</v>
      </c>
      <c r="AO489">
        <v>0</v>
      </c>
      <c r="AP489">
        <v>0</v>
      </c>
      <c r="AQ489">
        <v>0</v>
      </c>
      <c r="AR489">
        <v>0</v>
      </c>
      <c r="AS489" t="s">
        <v>3</v>
      </c>
      <c r="AT489">
        <v>5.0000000000000001E-4</v>
      </c>
      <c r="AU489" t="s">
        <v>3</v>
      </c>
      <c r="AV489">
        <v>0</v>
      </c>
      <c r="AW489">
        <v>2</v>
      </c>
      <c r="AX489">
        <v>39478761</v>
      </c>
      <c r="AY489">
        <v>1</v>
      </c>
      <c r="AZ489">
        <v>0</v>
      </c>
      <c r="BA489">
        <v>453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Y489*Source!I264</f>
        <v>5.0000000000000002E-5</v>
      </c>
      <c r="CY489">
        <f t="shared" si="66"/>
        <v>0</v>
      </c>
      <c r="CZ489">
        <f t="shared" si="67"/>
        <v>0</v>
      </c>
      <c r="DA489">
        <f t="shared" si="68"/>
        <v>6.13</v>
      </c>
      <c r="DB489">
        <v>0</v>
      </c>
    </row>
    <row r="490" spans="1:106" x14ac:dyDescent="0.2">
      <c r="A490">
        <f>ROW(Source!A264)</f>
        <v>264</v>
      </c>
      <c r="B490">
        <v>39476960</v>
      </c>
      <c r="C490">
        <v>39478752</v>
      </c>
      <c r="D490">
        <v>36805321</v>
      </c>
      <c r="E490">
        <v>1</v>
      </c>
      <c r="F490">
        <v>1</v>
      </c>
      <c r="G490">
        <v>1</v>
      </c>
      <c r="H490">
        <v>3</v>
      </c>
      <c r="I490" t="s">
        <v>1220</v>
      </c>
      <c r="J490" t="s">
        <v>1221</v>
      </c>
      <c r="K490" t="s">
        <v>1222</v>
      </c>
      <c r="L490">
        <v>1346</v>
      </c>
      <c r="N490">
        <v>1009</v>
      </c>
      <c r="O490" t="s">
        <v>217</v>
      </c>
      <c r="P490" t="s">
        <v>217</v>
      </c>
      <c r="Q490">
        <v>1</v>
      </c>
      <c r="W490">
        <v>0</v>
      </c>
      <c r="X490">
        <v>1706192078</v>
      </c>
      <c r="Y490">
        <v>0.8</v>
      </c>
      <c r="AA490">
        <v>83.12</v>
      </c>
      <c r="AB490">
        <v>0</v>
      </c>
      <c r="AC490">
        <v>0</v>
      </c>
      <c r="AD490">
        <v>0</v>
      </c>
      <c r="AE490">
        <v>13.56</v>
      </c>
      <c r="AF490">
        <v>0</v>
      </c>
      <c r="AG490">
        <v>0</v>
      </c>
      <c r="AH490">
        <v>0</v>
      </c>
      <c r="AI490">
        <v>6.13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0.8</v>
      </c>
      <c r="AU490" t="s">
        <v>3</v>
      </c>
      <c r="AV490">
        <v>0</v>
      </c>
      <c r="AW490">
        <v>2</v>
      </c>
      <c r="AX490">
        <v>39478762</v>
      </c>
      <c r="AY490">
        <v>1</v>
      </c>
      <c r="AZ490">
        <v>0</v>
      </c>
      <c r="BA490">
        <v>454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Y490*Source!I264</f>
        <v>8.0000000000000016E-2</v>
      </c>
      <c r="CY490">
        <f t="shared" si="66"/>
        <v>83.12</v>
      </c>
      <c r="CZ490">
        <f t="shared" si="67"/>
        <v>13.56</v>
      </c>
      <c r="DA490">
        <f t="shared" si="68"/>
        <v>6.13</v>
      </c>
      <c r="DB490">
        <v>0</v>
      </c>
    </row>
    <row r="491" spans="1:106" x14ac:dyDescent="0.2">
      <c r="A491">
        <f>ROW(Source!A264)</f>
        <v>264</v>
      </c>
      <c r="B491">
        <v>39476960</v>
      </c>
      <c r="C491">
        <v>39478752</v>
      </c>
      <c r="D491">
        <v>36837018</v>
      </c>
      <c r="E491">
        <v>1</v>
      </c>
      <c r="F491">
        <v>1</v>
      </c>
      <c r="G491">
        <v>1</v>
      </c>
      <c r="H491">
        <v>3</v>
      </c>
      <c r="I491" t="s">
        <v>1223</v>
      </c>
      <c r="J491" t="s">
        <v>1224</v>
      </c>
      <c r="K491" t="s">
        <v>1225</v>
      </c>
      <c r="L491">
        <v>1348</v>
      </c>
      <c r="N491">
        <v>1009</v>
      </c>
      <c r="O491" t="s">
        <v>34</v>
      </c>
      <c r="P491" t="s">
        <v>34</v>
      </c>
      <c r="Q491">
        <v>1000</v>
      </c>
      <c r="W491">
        <v>0</v>
      </c>
      <c r="X491">
        <v>1676970864</v>
      </c>
      <c r="Y491">
        <v>8.0000000000000004E-4</v>
      </c>
      <c r="AA491">
        <v>75582.899999999994</v>
      </c>
      <c r="AB491">
        <v>0</v>
      </c>
      <c r="AC491">
        <v>0</v>
      </c>
      <c r="AD491">
        <v>0</v>
      </c>
      <c r="AE491">
        <v>12330</v>
      </c>
      <c r="AF491">
        <v>0</v>
      </c>
      <c r="AG491">
        <v>0</v>
      </c>
      <c r="AH491">
        <v>0</v>
      </c>
      <c r="AI491">
        <v>6.13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8.0000000000000004E-4</v>
      </c>
      <c r="AU491" t="s">
        <v>3</v>
      </c>
      <c r="AV491">
        <v>0</v>
      </c>
      <c r="AW491">
        <v>2</v>
      </c>
      <c r="AX491">
        <v>39478763</v>
      </c>
      <c r="AY491">
        <v>1</v>
      </c>
      <c r="AZ491">
        <v>0</v>
      </c>
      <c r="BA491">
        <v>455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Y491*Source!I264</f>
        <v>8.0000000000000007E-5</v>
      </c>
      <c r="CY491">
        <f t="shared" si="66"/>
        <v>75582.899999999994</v>
      </c>
      <c r="CZ491">
        <f t="shared" si="67"/>
        <v>12330</v>
      </c>
      <c r="DA491">
        <f t="shared" si="68"/>
        <v>6.13</v>
      </c>
      <c r="DB491">
        <v>0</v>
      </c>
    </row>
    <row r="492" spans="1:106" x14ac:dyDescent="0.2">
      <c r="A492">
        <f>ROW(Source!A264)</f>
        <v>264</v>
      </c>
      <c r="B492">
        <v>39476960</v>
      </c>
      <c r="C492">
        <v>39478752</v>
      </c>
      <c r="D492">
        <v>36838223</v>
      </c>
      <c r="E492">
        <v>1</v>
      </c>
      <c r="F492">
        <v>1</v>
      </c>
      <c r="G492">
        <v>1</v>
      </c>
      <c r="H492">
        <v>3</v>
      </c>
      <c r="I492" t="s">
        <v>1200</v>
      </c>
      <c r="J492" t="s">
        <v>1201</v>
      </c>
      <c r="K492" t="s">
        <v>1202</v>
      </c>
      <c r="L492">
        <v>1348</v>
      </c>
      <c r="N492">
        <v>1009</v>
      </c>
      <c r="O492" t="s">
        <v>34</v>
      </c>
      <c r="P492" t="s">
        <v>34</v>
      </c>
      <c r="Q492">
        <v>1000</v>
      </c>
      <c r="W492">
        <v>0</v>
      </c>
      <c r="X492">
        <v>570223526</v>
      </c>
      <c r="Y492">
        <v>4.0000000000000002E-4</v>
      </c>
      <c r="AA492">
        <v>92679.47</v>
      </c>
      <c r="AB492">
        <v>0</v>
      </c>
      <c r="AC492">
        <v>0</v>
      </c>
      <c r="AD492">
        <v>0</v>
      </c>
      <c r="AE492">
        <v>15119</v>
      </c>
      <c r="AF492">
        <v>0</v>
      </c>
      <c r="AG492">
        <v>0</v>
      </c>
      <c r="AH492">
        <v>0</v>
      </c>
      <c r="AI492">
        <v>6.13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4.0000000000000002E-4</v>
      </c>
      <c r="AU492" t="s">
        <v>3</v>
      </c>
      <c r="AV492">
        <v>0</v>
      </c>
      <c r="AW492">
        <v>2</v>
      </c>
      <c r="AX492">
        <v>39478764</v>
      </c>
      <c r="AY492">
        <v>1</v>
      </c>
      <c r="AZ492">
        <v>0</v>
      </c>
      <c r="BA492">
        <v>456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Y492*Source!I264</f>
        <v>4.0000000000000003E-5</v>
      </c>
      <c r="CY492">
        <f t="shared" si="66"/>
        <v>92679.47</v>
      </c>
      <c r="CZ492">
        <f t="shared" si="67"/>
        <v>15119</v>
      </c>
      <c r="DA492">
        <f t="shared" si="68"/>
        <v>6.13</v>
      </c>
      <c r="DB492">
        <v>0</v>
      </c>
    </row>
    <row r="493" spans="1:106" x14ac:dyDescent="0.2">
      <c r="A493">
        <f>ROW(Source!A264)</f>
        <v>264</v>
      </c>
      <c r="B493">
        <v>39476960</v>
      </c>
      <c r="C493">
        <v>39478752</v>
      </c>
      <c r="D493">
        <v>36838951</v>
      </c>
      <c r="E493">
        <v>1</v>
      </c>
      <c r="F493">
        <v>1</v>
      </c>
      <c r="G493">
        <v>1</v>
      </c>
      <c r="H493">
        <v>3</v>
      </c>
      <c r="I493" t="s">
        <v>1203</v>
      </c>
      <c r="J493" t="s">
        <v>1204</v>
      </c>
      <c r="K493" t="s">
        <v>1205</v>
      </c>
      <c r="L493">
        <v>1348</v>
      </c>
      <c r="N493">
        <v>1009</v>
      </c>
      <c r="O493" t="s">
        <v>34</v>
      </c>
      <c r="P493" t="s">
        <v>34</v>
      </c>
      <c r="Q493">
        <v>1000</v>
      </c>
      <c r="W493">
        <v>0</v>
      </c>
      <c r="X493">
        <v>-909021926</v>
      </c>
      <c r="Y493">
        <v>2.0000000000000001E-4</v>
      </c>
      <c r="AA493">
        <v>103903.5</v>
      </c>
      <c r="AB493">
        <v>0</v>
      </c>
      <c r="AC493">
        <v>0</v>
      </c>
      <c r="AD493">
        <v>0</v>
      </c>
      <c r="AE493">
        <v>16950</v>
      </c>
      <c r="AF493">
        <v>0</v>
      </c>
      <c r="AG493">
        <v>0</v>
      </c>
      <c r="AH493">
        <v>0</v>
      </c>
      <c r="AI493">
        <v>6.13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2.0000000000000001E-4</v>
      </c>
      <c r="AU493" t="s">
        <v>3</v>
      </c>
      <c r="AV493">
        <v>0</v>
      </c>
      <c r="AW493">
        <v>2</v>
      </c>
      <c r="AX493">
        <v>39478766</v>
      </c>
      <c r="AY493">
        <v>1</v>
      </c>
      <c r="AZ493">
        <v>0</v>
      </c>
      <c r="BA493">
        <v>458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Y493*Source!I264</f>
        <v>2.0000000000000002E-5</v>
      </c>
      <c r="CY493">
        <f t="shared" si="66"/>
        <v>103903.5</v>
      </c>
      <c r="CZ493">
        <f t="shared" si="67"/>
        <v>16950</v>
      </c>
      <c r="DA493">
        <f t="shared" si="68"/>
        <v>6.13</v>
      </c>
      <c r="DB493">
        <v>0</v>
      </c>
    </row>
    <row r="494" spans="1:106" x14ac:dyDescent="0.2">
      <c r="A494">
        <f>ROW(Source!A264)</f>
        <v>264</v>
      </c>
      <c r="B494">
        <v>39476960</v>
      </c>
      <c r="C494">
        <v>39478752</v>
      </c>
      <c r="D494">
        <v>36846177</v>
      </c>
      <c r="E494">
        <v>1</v>
      </c>
      <c r="F494">
        <v>1</v>
      </c>
      <c r="G494">
        <v>1</v>
      </c>
      <c r="H494">
        <v>3</v>
      </c>
      <c r="I494" t="s">
        <v>638</v>
      </c>
      <c r="J494" t="s">
        <v>640</v>
      </c>
      <c r="K494" t="s">
        <v>639</v>
      </c>
      <c r="L494">
        <v>1035</v>
      </c>
      <c r="N494">
        <v>1013</v>
      </c>
      <c r="O494" t="s">
        <v>152</v>
      </c>
      <c r="P494" t="s">
        <v>152</v>
      </c>
      <c r="Q494">
        <v>1</v>
      </c>
      <c r="W494">
        <v>0</v>
      </c>
      <c r="X494">
        <v>-221019608</v>
      </c>
      <c r="Y494">
        <v>10</v>
      </c>
      <c r="AA494">
        <v>1949.34</v>
      </c>
      <c r="AB494">
        <v>0</v>
      </c>
      <c r="AC494">
        <v>0</v>
      </c>
      <c r="AD494">
        <v>0</v>
      </c>
      <c r="AE494">
        <v>318</v>
      </c>
      <c r="AF494">
        <v>0</v>
      </c>
      <c r="AG494">
        <v>0</v>
      </c>
      <c r="AH494">
        <v>0</v>
      </c>
      <c r="AI494">
        <v>6.13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3</v>
      </c>
      <c r="AT494">
        <v>10</v>
      </c>
      <c r="AU494" t="s">
        <v>3</v>
      </c>
      <c r="AV494">
        <v>0</v>
      </c>
      <c r="AW494">
        <v>1</v>
      </c>
      <c r="AX494">
        <v>-1</v>
      </c>
      <c r="AY494">
        <v>0</v>
      </c>
      <c r="AZ494">
        <v>0</v>
      </c>
      <c r="BA494" t="s">
        <v>3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Y494*Source!I264</f>
        <v>1</v>
      </c>
      <c r="CY494">
        <f t="shared" si="66"/>
        <v>1949.34</v>
      </c>
      <c r="CZ494">
        <f t="shared" si="67"/>
        <v>318</v>
      </c>
      <c r="DA494">
        <f t="shared" si="68"/>
        <v>6.13</v>
      </c>
      <c r="DB494">
        <v>0</v>
      </c>
    </row>
    <row r="495" spans="1:106" x14ac:dyDescent="0.2">
      <c r="A495">
        <f>ROW(Source!A264)</f>
        <v>264</v>
      </c>
      <c r="B495">
        <v>39476960</v>
      </c>
      <c r="C495">
        <v>39478752</v>
      </c>
      <c r="D495">
        <v>36846448</v>
      </c>
      <c r="E495">
        <v>1</v>
      </c>
      <c r="F495">
        <v>1</v>
      </c>
      <c r="G495">
        <v>1</v>
      </c>
      <c r="H495">
        <v>3</v>
      </c>
      <c r="I495" t="s">
        <v>588</v>
      </c>
      <c r="J495" t="s">
        <v>590</v>
      </c>
      <c r="K495" t="s">
        <v>589</v>
      </c>
      <c r="L495">
        <v>1358</v>
      </c>
      <c r="N495">
        <v>1010</v>
      </c>
      <c r="O495" t="s">
        <v>160</v>
      </c>
      <c r="P495" t="s">
        <v>160</v>
      </c>
      <c r="Q495">
        <v>10</v>
      </c>
      <c r="W495">
        <v>0</v>
      </c>
      <c r="X495">
        <v>-62785007</v>
      </c>
      <c r="Y495">
        <v>1</v>
      </c>
      <c r="AA495">
        <v>982.03</v>
      </c>
      <c r="AB495">
        <v>0</v>
      </c>
      <c r="AC495">
        <v>0</v>
      </c>
      <c r="AD495">
        <v>0</v>
      </c>
      <c r="AE495">
        <v>160.19999999999999</v>
      </c>
      <c r="AF495">
        <v>0</v>
      </c>
      <c r="AG495">
        <v>0</v>
      </c>
      <c r="AH495">
        <v>0</v>
      </c>
      <c r="AI495">
        <v>6.13</v>
      </c>
      <c r="AJ495">
        <v>1</v>
      </c>
      <c r="AK495">
        <v>1</v>
      </c>
      <c r="AL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 t="s">
        <v>3</v>
      </c>
      <c r="AT495">
        <v>1</v>
      </c>
      <c r="AU495" t="s">
        <v>3</v>
      </c>
      <c r="AV495">
        <v>0</v>
      </c>
      <c r="AW495">
        <v>1</v>
      </c>
      <c r="AX495">
        <v>-1</v>
      </c>
      <c r="AY495">
        <v>0</v>
      </c>
      <c r="AZ495">
        <v>0</v>
      </c>
      <c r="BA495" t="s">
        <v>3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Y495*Source!I264</f>
        <v>0.1</v>
      </c>
      <c r="CY495">
        <f t="shared" si="66"/>
        <v>982.03</v>
      </c>
      <c r="CZ495">
        <f t="shared" si="67"/>
        <v>160.19999999999999</v>
      </c>
      <c r="DA495">
        <f t="shared" si="68"/>
        <v>6.13</v>
      </c>
      <c r="DB495">
        <v>0</v>
      </c>
    </row>
    <row r="496" spans="1:106" x14ac:dyDescent="0.2">
      <c r="A496">
        <f>ROW(Source!A264)</f>
        <v>264</v>
      </c>
      <c r="B496">
        <v>39476960</v>
      </c>
      <c r="C496">
        <v>39478752</v>
      </c>
      <c r="D496">
        <v>36797696</v>
      </c>
      <c r="E496">
        <v>17</v>
      </c>
      <c r="F496">
        <v>1</v>
      </c>
      <c r="G496">
        <v>1</v>
      </c>
      <c r="H496">
        <v>3</v>
      </c>
      <c r="I496" t="s">
        <v>621</v>
      </c>
      <c r="J496" t="s">
        <v>3</v>
      </c>
      <c r="K496" t="s">
        <v>622</v>
      </c>
      <c r="L496">
        <v>1035</v>
      </c>
      <c r="N496">
        <v>1013</v>
      </c>
      <c r="O496" t="s">
        <v>152</v>
      </c>
      <c r="P496" t="s">
        <v>152</v>
      </c>
      <c r="Q496">
        <v>1</v>
      </c>
      <c r="W496">
        <v>0</v>
      </c>
      <c r="X496">
        <v>195171381</v>
      </c>
      <c r="Y496">
        <v>10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6.13</v>
      </c>
      <c r="AJ496">
        <v>1</v>
      </c>
      <c r="AK496">
        <v>1</v>
      </c>
      <c r="AL496">
        <v>1</v>
      </c>
      <c r="AN496">
        <v>0</v>
      </c>
      <c r="AO496">
        <v>0</v>
      </c>
      <c r="AP496">
        <v>0</v>
      </c>
      <c r="AQ496">
        <v>0</v>
      </c>
      <c r="AR496">
        <v>0</v>
      </c>
      <c r="AS496" t="s">
        <v>3</v>
      </c>
      <c r="AT496">
        <v>10</v>
      </c>
      <c r="AU496" t="s">
        <v>3</v>
      </c>
      <c r="AV496">
        <v>0</v>
      </c>
      <c r="AW496">
        <v>2</v>
      </c>
      <c r="AX496">
        <v>39478767</v>
      </c>
      <c r="AY496">
        <v>1</v>
      </c>
      <c r="AZ496">
        <v>0</v>
      </c>
      <c r="BA496">
        <v>459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Y496*Source!I264</f>
        <v>1</v>
      </c>
      <c r="CY496">
        <f t="shared" si="66"/>
        <v>0</v>
      </c>
      <c r="CZ496">
        <f t="shared" si="67"/>
        <v>0</v>
      </c>
      <c r="DA496">
        <f t="shared" si="68"/>
        <v>6.13</v>
      </c>
      <c r="DB496">
        <v>0</v>
      </c>
    </row>
    <row r="497" spans="1:106" x14ac:dyDescent="0.2">
      <c r="A497">
        <f>ROW(Source!A305)</f>
        <v>305</v>
      </c>
      <c r="B497">
        <v>39476960</v>
      </c>
      <c r="C497">
        <v>39478784</v>
      </c>
      <c r="D497">
        <v>37070090</v>
      </c>
      <c r="E497">
        <v>1</v>
      </c>
      <c r="F497">
        <v>1</v>
      </c>
      <c r="G497">
        <v>1</v>
      </c>
      <c r="H497">
        <v>1</v>
      </c>
      <c r="I497" t="s">
        <v>1226</v>
      </c>
      <c r="J497" t="s">
        <v>3</v>
      </c>
      <c r="K497" t="s">
        <v>1227</v>
      </c>
      <c r="L497">
        <v>1191</v>
      </c>
      <c r="N497">
        <v>1013</v>
      </c>
      <c r="O497" t="s">
        <v>796</v>
      </c>
      <c r="P497" t="s">
        <v>796</v>
      </c>
      <c r="Q497">
        <v>1</v>
      </c>
      <c r="W497">
        <v>0</v>
      </c>
      <c r="X497">
        <v>-814890593</v>
      </c>
      <c r="Y497">
        <v>2.0147999999999997</v>
      </c>
      <c r="AA497">
        <v>0</v>
      </c>
      <c r="AB497">
        <v>0</v>
      </c>
      <c r="AC497">
        <v>0</v>
      </c>
      <c r="AD497">
        <v>54.99</v>
      </c>
      <c r="AE497">
        <v>0</v>
      </c>
      <c r="AF497">
        <v>0</v>
      </c>
      <c r="AG497">
        <v>0</v>
      </c>
      <c r="AH497">
        <v>8.9700000000000006</v>
      </c>
      <c r="AI497">
        <v>1</v>
      </c>
      <c r="AJ497">
        <v>1</v>
      </c>
      <c r="AK497">
        <v>1</v>
      </c>
      <c r="AL497">
        <v>6.13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1.46</v>
      </c>
      <c r="AU497" t="s">
        <v>54</v>
      </c>
      <c r="AV497">
        <v>1</v>
      </c>
      <c r="AW497">
        <v>2</v>
      </c>
      <c r="AX497">
        <v>39478785</v>
      </c>
      <c r="AY497">
        <v>1</v>
      </c>
      <c r="AZ497">
        <v>0</v>
      </c>
      <c r="BA497">
        <v>460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Y497*Source!I305</f>
        <v>4.0295999999999994</v>
      </c>
      <c r="CY497">
        <f>AD497</f>
        <v>54.99</v>
      </c>
      <c r="CZ497">
        <f>AH497</f>
        <v>8.9700000000000006</v>
      </c>
      <c r="DA497">
        <f>AL497</f>
        <v>6.13</v>
      </c>
      <c r="DB497">
        <v>0</v>
      </c>
    </row>
    <row r="498" spans="1:106" x14ac:dyDescent="0.2">
      <c r="A498">
        <f>ROW(Source!A305)</f>
        <v>305</v>
      </c>
      <c r="B498">
        <v>39476960</v>
      </c>
      <c r="C498">
        <v>39478784</v>
      </c>
      <c r="D498">
        <v>37064876</v>
      </c>
      <c r="E498">
        <v>1</v>
      </c>
      <c r="F498">
        <v>1</v>
      </c>
      <c r="G498">
        <v>1</v>
      </c>
      <c r="H498">
        <v>1</v>
      </c>
      <c r="I498" t="s">
        <v>797</v>
      </c>
      <c r="J498" t="s">
        <v>3</v>
      </c>
      <c r="K498" t="s">
        <v>798</v>
      </c>
      <c r="L498">
        <v>1191</v>
      </c>
      <c r="N498">
        <v>1013</v>
      </c>
      <c r="O498" t="s">
        <v>796</v>
      </c>
      <c r="P498" t="s">
        <v>796</v>
      </c>
      <c r="Q498">
        <v>1</v>
      </c>
      <c r="W498">
        <v>0</v>
      </c>
      <c r="X498">
        <v>-1417349443</v>
      </c>
      <c r="Y498">
        <v>0.01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6.13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0.01</v>
      </c>
      <c r="AU498" t="s">
        <v>3</v>
      </c>
      <c r="AV498">
        <v>2</v>
      </c>
      <c r="AW498">
        <v>2</v>
      </c>
      <c r="AX498">
        <v>39478786</v>
      </c>
      <c r="AY498">
        <v>1</v>
      </c>
      <c r="AZ498">
        <v>2048</v>
      </c>
      <c r="BA498">
        <v>461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Y498*Source!I305</f>
        <v>0.02</v>
      </c>
      <c r="CY498">
        <f>AD498</f>
        <v>0</v>
      </c>
      <c r="CZ498">
        <f>AH498</f>
        <v>0</v>
      </c>
      <c r="DA498">
        <f>AL498</f>
        <v>1</v>
      </c>
      <c r="DB498">
        <v>0</v>
      </c>
    </row>
    <row r="499" spans="1:106" x14ac:dyDescent="0.2">
      <c r="A499">
        <f>ROW(Source!A305)</f>
        <v>305</v>
      </c>
      <c r="B499">
        <v>39476960</v>
      </c>
      <c r="C499">
        <v>39478784</v>
      </c>
      <c r="D499">
        <v>36883554</v>
      </c>
      <c r="E499">
        <v>1</v>
      </c>
      <c r="F499">
        <v>1</v>
      </c>
      <c r="G499">
        <v>1</v>
      </c>
      <c r="H499">
        <v>2</v>
      </c>
      <c r="I499" t="s">
        <v>834</v>
      </c>
      <c r="J499" t="s">
        <v>835</v>
      </c>
      <c r="K499" t="s">
        <v>836</v>
      </c>
      <c r="L499">
        <v>1368</v>
      </c>
      <c r="N499">
        <v>1011</v>
      </c>
      <c r="O499" t="s">
        <v>802</v>
      </c>
      <c r="P499" t="s">
        <v>802</v>
      </c>
      <c r="Q499">
        <v>1</v>
      </c>
      <c r="W499">
        <v>0</v>
      </c>
      <c r="X499">
        <v>1372534845</v>
      </c>
      <c r="Y499">
        <v>1.4999999999999999E-2</v>
      </c>
      <c r="AA499">
        <v>0</v>
      </c>
      <c r="AB499">
        <v>402.8</v>
      </c>
      <c r="AC499">
        <v>11.6</v>
      </c>
      <c r="AD499">
        <v>0</v>
      </c>
      <c r="AE499">
        <v>0</v>
      </c>
      <c r="AF499">
        <v>65.709999999999994</v>
      </c>
      <c r="AG499">
        <v>11.6</v>
      </c>
      <c r="AH499">
        <v>0</v>
      </c>
      <c r="AI499">
        <v>1</v>
      </c>
      <c r="AJ499">
        <v>6.13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3</v>
      </c>
      <c r="AT499">
        <v>0.01</v>
      </c>
      <c r="AU499" t="s">
        <v>53</v>
      </c>
      <c r="AV499">
        <v>0</v>
      </c>
      <c r="AW499">
        <v>2</v>
      </c>
      <c r="AX499">
        <v>39478787</v>
      </c>
      <c r="AY499">
        <v>1</v>
      </c>
      <c r="AZ499">
        <v>0</v>
      </c>
      <c r="BA499">
        <v>462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Y499*Source!I305</f>
        <v>0.03</v>
      </c>
      <c r="CY499">
        <f>AB499</f>
        <v>402.8</v>
      </c>
      <c r="CZ499">
        <f>AF499</f>
        <v>65.709999999999994</v>
      </c>
      <c r="DA499">
        <f>AJ499</f>
        <v>6.13</v>
      </c>
      <c r="DB499">
        <v>0</v>
      </c>
    </row>
    <row r="500" spans="1:106" x14ac:dyDescent="0.2">
      <c r="A500">
        <f>ROW(Source!A305)</f>
        <v>305</v>
      </c>
      <c r="B500">
        <v>39476960</v>
      </c>
      <c r="C500">
        <v>39478784</v>
      </c>
      <c r="D500">
        <v>36883858</v>
      </c>
      <c r="E500">
        <v>1</v>
      </c>
      <c r="F500">
        <v>1</v>
      </c>
      <c r="G500">
        <v>1</v>
      </c>
      <c r="H500">
        <v>2</v>
      </c>
      <c r="I500" t="s">
        <v>1139</v>
      </c>
      <c r="J500" t="s">
        <v>1140</v>
      </c>
      <c r="K500" t="s">
        <v>1141</v>
      </c>
      <c r="L500">
        <v>1368</v>
      </c>
      <c r="N500">
        <v>1011</v>
      </c>
      <c r="O500" t="s">
        <v>802</v>
      </c>
      <c r="P500" t="s">
        <v>802</v>
      </c>
      <c r="Q500">
        <v>1</v>
      </c>
      <c r="W500">
        <v>0</v>
      </c>
      <c r="X500">
        <v>-353815937</v>
      </c>
      <c r="Y500">
        <v>0.18</v>
      </c>
      <c r="AA500">
        <v>0</v>
      </c>
      <c r="AB500">
        <v>49.65</v>
      </c>
      <c r="AC500">
        <v>0</v>
      </c>
      <c r="AD500">
        <v>0</v>
      </c>
      <c r="AE500">
        <v>0</v>
      </c>
      <c r="AF500">
        <v>8.1</v>
      </c>
      <c r="AG500">
        <v>0</v>
      </c>
      <c r="AH500">
        <v>0</v>
      </c>
      <c r="AI500">
        <v>1</v>
      </c>
      <c r="AJ500">
        <v>6.13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0.12</v>
      </c>
      <c r="AU500" t="s">
        <v>53</v>
      </c>
      <c r="AV500">
        <v>0</v>
      </c>
      <c r="AW500">
        <v>2</v>
      </c>
      <c r="AX500">
        <v>39478788</v>
      </c>
      <c r="AY500">
        <v>1</v>
      </c>
      <c r="AZ500">
        <v>0</v>
      </c>
      <c r="BA500">
        <v>463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Y500*Source!I305</f>
        <v>0.36</v>
      </c>
      <c r="CY500">
        <f>AB500</f>
        <v>49.65</v>
      </c>
      <c r="CZ500">
        <f>AF500</f>
        <v>8.1</v>
      </c>
      <c r="DA500">
        <f>AJ500</f>
        <v>6.13</v>
      </c>
      <c r="DB500">
        <v>0</v>
      </c>
    </row>
    <row r="501" spans="1:106" x14ac:dyDescent="0.2">
      <c r="A501">
        <f>ROW(Source!A305)</f>
        <v>305</v>
      </c>
      <c r="B501">
        <v>39476960</v>
      </c>
      <c r="C501">
        <v>39478784</v>
      </c>
      <c r="D501">
        <v>36803269</v>
      </c>
      <c r="E501">
        <v>1</v>
      </c>
      <c r="F501">
        <v>1</v>
      </c>
      <c r="G501">
        <v>1</v>
      </c>
      <c r="H501">
        <v>3</v>
      </c>
      <c r="I501" t="s">
        <v>1191</v>
      </c>
      <c r="J501" t="s">
        <v>1192</v>
      </c>
      <c r="K501" t="s">
        <v>1193</v>
      </c>
      <c r="L501">
        <v>1348</v>
      </c>
      <c r="N501">
        <v>1009</v>
      </c>
      <c r="O501" t="s">
        <v>34</v>
      </c>
      <c r="P501" t="s">
        <v>34</v>
      </c>
      <c r="Q501">
        <v>1000</v>
      </c>
      <c r="W501">
        <v>0</v>
      </c>
      <c r="X501">
        <v>-1068056325</v>
      </c>
      <c r="Y501">
        <v>1.1E-4</v>
      </c>
      <c r="AA501">
        <v>63519.06</v>
      </c>
      <c r="AB501">
        <v>0</v>
      </c>
      <c r="AC501">
        <v>0</v>
      </c>
      <c r="AD501">
        <v>0</v>
      </c>
      <c r="AE501">
        <v>10362</v>
      </c>
      <c r="AF501">
        <v>0</v>
      </c>
      <c r="AG501">
        <v>0</v>
      </c>
      <c r="AH501">
        <v>0</v>
      </c>
      <c r="AI501">
        <v>6.13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1.1E-4</v>
      </c>
      <c r="AU501" t="s">
        <v>3</v>
      </c>
      <c r="AV501">
        <v>0</v>
      </c>
      <c r="AW501">
        <v>2</v>
      </c>
      <c r="AX501">
        <v>39478789</v>
      </c>
      <c r="AY501">
        <v>1</v>
      </c>
      <c r="AZ501">
        <v>0</v>
      </c>
      <c r="BA501">
        <v>464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Y501*Source!I305</f>
        <v>2.2000000000000001E-4</v>
      </c>
      <c r="CY501">
        <f>AA501</f>
        <v>63519.06</v>
      </c>
      <c r="CZ501">
        <f>AE501</f>
        <v>10362</v>
      </c>
      <c r="DA501">
        <f>AI501</f>
        <v>6.13</v>
      </c>
      <c r="DB501">
        <v>0</v>
      </c>
    </row>
    <row r="502" spans="1:106" x14ac:dyDescent="0.2">
      <c r="A502">
        <f>ROW(Source!A305)</f>
        <v>305</v>
      </c>
      <c r="B502">
        <v>39476960</v>
      </c>
      <c r="C502">
        <v>39478784</v>
      </c>
      <c r="D502">
        <v>36826587</v>
      </c>
      <c r="E502">
        <v>1</v>
      </c>
      <c r="F502">
        <v>1</v>
      </c>
      <c r="G502">
        <v>1</v>
      </c>
      <c r="H502">
        <v>3</v>
      </c>
      <c r="I502" t="s">
        <v>1228</v>
      </c>
      <c r="J502" t="s">
        <v>1229</v>
      </c>
      <c r="K502" t="s">
        <v>1230</v>
      </c>
      <c r="L502">
        <v>1348</v>
      </c>
      <c r="N502">
        <v>1009</v>
      </c>
      <c r="O502" t="s">
        <v>34</v>
      </c>
      <c r="P502" t="s">
        <v>34</v>
      </c>
      <c r="Q502">
        <v>1000</v>
      </c>
      <c r="W502">
        <v>0</v>
      </c>
      <c r="X502">
        <v>1969538235</v>
      </c>
      <c r="Y502">
        <v>4.2999999999999999E-4</v>
      </c>
      <c r="AA502">
        <v>39898.639999999999</v>
      </c>
      <c r="AB502">
        <v>0</v>
      </c>
      <c r="AC502">
        <v>0</v>
      </c>
      <c r="AD502">
        <v>0</v>
      </c>
      <c r="AE502">
        <v>6508.75</v>
      </c>
      <c r="AF502">
        <v>0</v>
      </c>
      <c r="AG502">
        <v>0</v>
      </c>
      <c r="AH502">
        <v>0</v>
      </c>
      <c r="AI502">
        <v>6.13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4.2999999999999999E-4</v>
      </c>
      <c r="AU502" t="s">
        <v>3</v>
      </c>
      <c r="AV502">
        <v>0</v>
      </c>
      <c r="AW502">
        <v>2</v>
      </c>
      <c r="AX502">
        <v>39478791</v>
      </c>
      <c r="AY502">
        <v>1</v>
      </c>
      <c r="AZ502">
        <v>0</v>
      </c>
      <c r="BA502">
        <v>466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Y502*Source!I305</f>
        <v>8.5999999999999998E-4</v>
      </c>
      <c r="CY502">
        <f>AA502</f>
        <v>39898.639999999999</v>
      </c>
      <c r="CZ502">
        <f>AE502</f>
        <v>6508.75</v>
      </c>
      <c r="DA502">
        <f>AI502</f>
        <v>6.13</v>
      </c>
      <c r="DB502">
        <v>0</v>
      </c>
    </row>
    <row r="503" spans="1:106" x14ac:dyDescent="0.2">
      <c r="A503">
        <f>ROW(Source!A305)</f>
        <v>305</v>
      </c>
      <c r="B503">
        <v>39476960</v>
      </c>
      <c r="C503">
        <v>39478784</v>
      </c>
      <c r="D503">
        <v>36849718</v>
      </c>
      <c r="E503">
        <v>1</v>
      </c>
      <c r="F503">
        <v>1</v>
      </c>
      <c r="G503">
        <v>1</v>
      </c>
      <c r="H503">
        <v>3</v>
      </c>
      <c r="I503" t="s">
        <v>653</v>
      </c>
      <c r="J503" t="s">
        <v>655</v>
      </c>
      <c r="K503" t="s">
        <v>654</v>
      </c>
      <c r="L503">
        <v>1354</v>
      </c>
      <c r="N503">
        <v>1010</v>
      </c>
      <c r="O503" t="s">
        <v>415</v>
      </c>
      <c r="P503" t="s">
        <v>415</v>
      </c>
      <c r="Q503">
        <v>1</v>
      </c>
      <c r="W503">
        <v>0</v>
      </c>
      <c r="X503">
        <v>132766544</v>
      </c>
      <c r="Y503">
        <v>1</v>
      </c>
      <c r="AA503">
        <v>613.61</v>
      </c>
      <c r="AB503">
        <v>0</v>
      </c>
      <c r="AC503">
        <v>0</v>
      </c>
      <c r="AD503">
        <v>0</v>
      </c>
      <c r="AE503">
        <v>100.1</v>
      </c>
      <c r="AF503">
        <v>0</v>
      </c>
      <c r="AG503">
        <v>0</v>
      </c>
      <c r="AH503">
        <v>0</v>
      </c>
      <c r="AI503">
        <v>6.13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3</v>
      </c>
      <c r="AT503">
        <v>1</v>
      </c>
      <c r="AU503" t="s">
        <v>3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Y503*Source!I305</f>
        <v>2</v>
      </c>
      <c r="CY503">
        <f>AA503</f>
        <v>613.61</v>
      </c>
      <c r="CZ503">
        <f>AE503</f>
        <v>100.1</v>
      </c>
      <c r="DA503">
        <f>AI503</f>
        <v>6.13</v>
      </c>
      <c r="DB503">
        <v>0</v>
      </c>
    </row>
    <row r="504" spans="1:106" x14ac:dyDescent="0.2">
      <c r="A504">
        <f>ROW(Source!A305)</f>
        <v>305</v>
      </c>
      <c r="B504">
        <v>39476960</v>
      </c>
      <c r="C504">
        <v>39478784</v>
      </c>
      <c r="D504">
        <v>36797832</v>
      </c>
      <c r="E504">
        <v>17</v>
      </c>
      <c r="F504">
        <v>1</v>
      </c>
      <c r="G504">
        <v>1</v>
      </c>
      <c r="H504">
        <v>3</v>
      </c>
      <c r="I504" t="s">
        <v>657</v>
      </c>
      <c r="J504" t="s">
        <v>3</v>
      </c>
      <c r="K504" t="s">
        <v>658</v>
      </c>
      <c r="L504">
        <v>1354</v>
      </c>
      <c r="N504">
        <v>1010</v>
      </c>
      <c r="O504" t="s">
        <v>415</v>
      </c>
      <c r="P504" t="s">
        <v>415</v>
      </c>
      <c r="Q504">
        <v>1</v>
      </c>
      <c r="W504">
        <v>0</v>
      </c>
      <c r="X504">
        <v>-698526538</v>
      </c>
      <c r="Y504">
        <v>1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6.13</v>
      </c>
      <c r="AJ504">
        <v>1</v>
      </c>
      <c r="AK504">
        <v>1</v>
      </c>
      <c r="AL504">
        <v>1</v>
      </c>
      <c r="AN504">
        <v>0</v>
      </c>
      <c r="AO504">
        <v>0</v>
      </c>
      <c r="AP504">
        <v>0</v>
      </c>
      <c r="AQ504">
        <v>0</v>
      </c>
      <c r="AR504">
        <v>0</v>
      </c>
      <c r="AS504" t="s">
        <v>3</v>
      </c>
      <c r="AT504">
        <v>1</v>
      </c>
      <c r="AU504" t="s">
        <v>3</v>
      </c>
      <c r="AV504">
        <v>0</v>
      </c>
      <c r="AW504">
        <v>2</v>
      </c>
      <c r="AX504">
        <v>39478792</v>
      </c>
      <c r="AY504">
        <v>1</v>
      </c>
      <c r="AZ504">
        <v>0</v>
      </c>
      <c r="BA504">
        <v>467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Y504*Source!I305</f>
        <v>2</v>
      </c>
      <c r="CY504">
        <f>AA504</f>
        <v>0</v>
      </c>
      <c r="CZ504">
        <f>AE504</f>
        <v>0</v>
      </c>
      <c r="DA504">
        <f>AI504</f>
        <v>6.13</v>
      </c>
      <c r="DB504">
        <v>0</v>
      </c>
    </row>
    <row r="505" spans="1:106" x14ac:dyDescent="0.2">
      <c r="A505">
        <f>ROW(Source!A308)</f>
        <v>308</v>
      </c>
      <c r="B505">
        <v>39476960</v>
      </c>
      <c r="C505">
        <v>39478803</v>
      </c>
      <c r="D505">
        <v>37065248</v>
      </c>
      <c r="E505">
        <v>1</v>
      </c>
      <c r="F505">
        <v>1</v>
      </c>
      <c r="G505">
        <v>1</v>
      </c>
      <c r="H505">
        <v>1</v>
      </c>
      <c r="I505" t="s">
        <v>895</v>
      </c>
      <c r="J505" t="s">
        <v>3</v>
      </c>
      <c r="K505" t="s">
        <v>896</v>
      </c>
      <c r="L505">
        <v>1191</v>
      </c>
      <c r="N505">
        <v>1013</v>
      </c>
      <c r="O505" t="s">
        <v>796</v>
      </c>
      <c r="P505" t="s">
        <v>796</v>
      </c>
      <c r="Q505">
        <v>1</v>
      </c>
      <c r="W505">
        <v>0</v>
      </c>
      <c r="X505">
        <v>-400197608</v>
      </c>
      <c r="Y505">
        <v>12.42</v>
      </c>
      <c r="AA505">
        <v>0</v>
      </c>
      <c r="AB505">
        <v>0</v>
      </c>
      <c r="AC505">
        <v>0</v>
      </c>
      <c r="AD505">
        <v>52.29</v>
      </c>
      <c r="AE505">
        <v>0</v>
      </c>
      <c r="AF505">
        <v>0</v>
      </c>
      <c r="AG505">
        <v>0</v>
      </c>
      <c r="AH505">
        <v>8.5299999999999994</v>
      </c>
      <c r="AI505">
        <v>1</v>
      </c>
      <c r="AJ505">
        <v>1</v>
      </c>
      <c r="AK505">
        <v>1</v>
      </c>
      <c r="AL505">
        <v>6.13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9</v>
      </c>
      <c r="AU505" t="s">
        <v>54</v>
      </c>
      <c r="AV505">
        <v>1</v>
      </c>
      <c r="AW505">
        <v>2</v>
      </c>
      <c r="AX505">
        <v>39478804</v>
      </c>
      <c r="AY505">
        <v>1</v>
      </c>
      <c r="AZ505">
        <v>0</v>
      </c>
      <c r="BA505">
        <v>468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Y505*Source!I308</f>
        <v>24.84</v>
      </c>
      <c r="CY505">
        <f>AD505</f>
        <v>52.29</v>
      </c>
      <c r="CZ505">
        <f>AH505</f>
        <v>8.5299999999999994</v>
      </c>
      <c r="DA505">
        <f>AL505</f>
        <v>6.13</v>
      </c>
      <c r="DB505">
        <v>0</v>
      </c>
    </row>
    <row r="506" spans="1:106" x14ac:dyDescent="0.2">
      <c r="A506">
        <f>ROW(Source!A308)</f>
        <v>308</v>
      </c>
      <c r="B506">
        <v>39476960</v>
      </c>
      <c r="C506">
        <v>39478803</v>
      </c>
      <c r="D506">
        <v>37064876</v>
      </c>
      <c r="E506">
        <v>1</v>
      </c>
      <c r="F506">
        <v>1</v>
      </c>
      <c r="G506">
        <v>1</v>
      </c>
      <c r="H506">
        <v>1</v>
      </c>
      <c r="I506" t="s">
        <v>797</v>
      </c>
      <c r="J506" t="s">
        <v>3</v>
      </c>
      <c r="K506" t="s">
        <v>798</v>
      </c>
      <c r="L506">
        <v>1191</v>
      </c>
      <c r="N506">
        <v>1013</v>
      </c>
      <c r="O506" t="s">
        <v>796</v>
      </c>
      <c r="P506" t="s">
        <v>796</v>
      </c>
      <c r="Q506">
        <v>1</v>
      </c>
      <c r="W506">
        <v>0</v>
      </c>
      <c r="X506">
        <v>-1417349443</v>
      </c>
      <c r="Y506">
        <v>0.08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6.13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0.08</v>
      </c>
      <c r="AU506" t="s">
        <v>3</v>
      </c>
      <c r="AV506">
        <v>2</v>
      </c>
      <c r="AW506">
        <v>2</v>
      </c>
      <c r="AX506">
        <v>39478805</v>
      </c>
      <c r="AY506">
        <v>1</v>
      </c>
      <c r="AZ506">
        <v>2048</v>
      </c>
      <c r="BA506">
        <v>469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Y506*Source!I308</f>
        <v>0.16</v>
      </c>
      <c r="CY506">
        <f>AD506</f>
        <v>0</v>
      </c>
      <c r="CZ506">
        <f>AH506</f>
        <v>0</v>
      </c>
      <c r="DA506">
        <f>AL506</f>
        <v>1</v>
      </c>
      <c r="DB506">
        <v>0</v>
      </c>
    </row>
    <row r="507" spans="1:106" x14ac:dyDescent="0.2">
      <c r="A507">
        <f>ROW(Source!A308)</f>
        <v>308</v>
      </c>
      <c r="B507">
        <v>39476960</v>
      </c>
      <c r="C507">
        <v>39478803</v>
      </c>
      <c r="D507">
        <v>36882159</v>
      </c>
      <c r="E507">
        <v>1</v>
      </c>
      <c r="F507">
        <v>1</v>
      </c>
      <c r="G507">
        <v>1</v>
      </c>
      <c r="H507">
        <v>2</v>
      </c>
      <c r="I507" t="s">
        <v>825</v>
      </c>
      <c r="J507" t="s">
        <v>826</v>
      </c>
      <c r="K507" t="s">
        <v>827</v>
      </c>
      <c r="L507">
        <v>1368</v>
      </c>
      <c r="N507">
        <v>1011</v>
      </c>
      <c r="O507" t="s">
        <v>802</v>
      </c>
      <c r="P507" t="s">
        <v>802</v>
      </c>
      <c r="Q507">
        <v>1</v>
      </c>
      <c r="W507">
        <v>0</v>
      </c>
      <c r="X507">
        <v>-1718674368</v>
      </c>
      <c r="Y507">
        <v>4.4999999999999998E-2</v>
      </c>
      <c r="AA507">
        <v>0</v>
      </c>
      <c r="AB507">
        <v>686.5</v>
      </c>
      <c r="AC507">
        <v>13.5</v>
      </c>
      <c r="AD507">
        <v>0</v>
      </c>
      <c r="AE507">
        <v>0</v>
      </c>
      <c r="AF507">
        <v>111.99</v>
      </c>
      <c r="AG507">
        <v>13.5</v>
      </c>
      <c r="AH507">
        <v>0</v>
      </c>
      <c r="AI507">
        <v>1</v>
      </c>
      <c r="AJ507">
        <v>6.13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0.03</v>
      </c>
      <c r="AU507" t="s">
        <v>53</v>
      </c>
      <c r="AV507">
        <v>0</v>
      </c>
      <c r="AW507">
        <v>2</v>
      </c>
      <c r="AX507">
        <v>39478806</v>
      </c>
      <c r="AY507">
        <v>1</v>
      </c>
      <c r="AZ507">
        <v>0</v>
      </c>
      <c r="BA507">
        <v>470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Y507*Source!I308</f>
        <v>0.09</v>
      </c>
      <c r="CY507">
        <f>AB507</f>
        <v>686.5</v>
      </c>
      <c r="CZ507">
        <f>AF507</f>
        <v>111.99</v>
      </c>
      <c r="DA507">
        <f>AJ507</f>
        <v>6.13</v>
      </c>
      <c r="DB507">
        <v>0</v>
      </c>
    </row>
    <row r="508" spans="1:106" x14ac:dyDescent="0.2">
      <c r="A508">
        <f>ROW(Source!A308)</f>
        <v>308</v>
      </c>
      <c r="B508">
        <v>39476960</v>
      </c>
      <c r="C508">
        <v>39478803</v>
      </c>
      <c r="D508">
        <v>36882338</v>
      </c>
      <c r="E508">
        <v>1</v>
      </c>
      <c r="F508">
        <v>1</v>
      </c>
      <c r="G508">
        <v>1</v>
      </c>
      <c r="H508">
        <v>2</v>
      </c>
      <c r="I508" t="s">
        <v>1231</v>
      </c>
      <c r="J508" t="s">
        <v>1232</v>
      </c>
      <c r="K508" t="s">
        <v>1233</v>
      </c>
      <c r="L508">
        <v>1368</v>
      </c>
      <c r="N508">
        <v>1011</v>
      </c>
      <c r="O508" t="s">
        <v>802</v>
      </c>
      <c r="P508" t="s">
        <v>802</v>
      </c>
      <c r="Q508">
        <v>1</v>
      </c>
      <c r="W508">
        <v>0</v>
      </c>
      <c r="X508">
        <v>1373224040</v>
      </c>
      <c r="Y508">
        <v>3.105</v>
      </c>
      <c r="AA508">
        <v>0</v>
      </c>
      <c r="AB508">
        <v>19.13</v>
      </c>
      <c r="AC508">
        <v>0</v>
      </c>
      <c r="AD508">
        <v>0</v>
      </c>
      <c r="AE508">
        <v>0</v>
      </c>
      <c r="AF508">
        <v>3.12</v>
      </c>
      <c r="AG508">
        <v>0</v>
      </c>
      <c r="AH508">
        <v>0</v>
      </c>
      <c r="AI508">
        <v>1</v>
      </c>
      <c r="AJ508">
        <v>6.13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3</v>
      </c>
      <c r="AT508">
        <v>2.0699999999999998</v>
      </c>
      <c r="AU508" t="s">
        <v>53</v>
      </c>
      <c r="AV508">
        <v>0</v>
      </c>
      <c r="AW508">
        <v>2</v>
      </c>
      <c r="AX508">
        <v>39478807</v>
      </c>
      <c r="AY508">
        <v>1</v>
      </c>
      <c r="AZ508">
        <v>0</v>
      </c>
      <c r="BA508">
        <v>471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Y508*Source!I308</f>
        <v>6.21</v>
      </c>
      <c r="CY508">
        <f>AB508</f>
        <v>19.13</v>
      </c>
      <c r="CZ508">
        <f>AF508</f>
        <v>3.12</v>
      </c>
      <c r="DA508">
        <f>AJ508</f>
        <v>6.13</v>
      </c>
      <c r="DB508">
        <v>0</v>
      </c>
    </row>
    <row r="509" spans="1:106" x14ac:dyDescent="0.2">
      <c r="A509">
        <f>ROW(Source!A308)</f>
        <v>308</v>
      </c>
      <c r="B509">
        <v>39476960</v>
      </c>
      <c r="C509">
        <v>39478803</v>
      </c>
      <c r="D509">
        <v>36883554</v>
      </c>
      <c r="E509">
        <v>1</v>
      </c>
      <c r="F509">
        <v>1</v>
      </c>
      <c r="G509">
        <v>1</v>
      </c>
      <c r="H509">
        <v>2</v>
      </c>
      <c r="I509" t="s">
        <v>834</v>
      </c>
      <c r="J509" t="s">
        <v>835</v>
      </c>
      <c r="K509" t="s">
        <v>836</v>
      </c>
      <c r="L509">
        <v>1368</v>
      </c>
      <c r="N509">
        <v>1011</v>
      </c>
      <c r="O509" t="s">
        <v>802</v>
      </c>
      <c r="P509" t="s">
        <v>802</v>
      </c>
      <c r="Q509">
        <v>1</v>
      </c>
      <c r="W509">
        <v>0</v>
      </c>
      <c r="X509">
        <v>1372534845</v>
      </c>
      <c r="Y509">
        <v>7.4999999999999997E-2</v>
      </c>
      <c r="AA509">
        <v>0</v>
      </c>
      <c r="AB509">
        <v>402.8</v>
      </c>
      <c r="AC509">
        <v>11.6</v>
      </c>
      <c r="AD509">
        <v>0</v>
      </c>
      <c r="AE509">
        <v>0</v>
      </c>
      <c r="AF509">
        <v>65.709999999999994</v>
      </c>
      <c r="AG509">
        <v>11.6</v>
      </c>
      <c r="AH509">
        <v>0</v>
      </c>
      <c r="AI509">
        <v>1</v>
      </c>
      <c r="AJ509">
        <v>6.13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3</v>
      </c>
      <c r="AT509">
        <v>0.05</v>
      </c>
      <c r="AU509" t="s">
        <v>53</v>
      </c>
      <c r="AV509">
        <v>0</v>
      </c>
      <c r="AW509">
        <v>2</v>
      </c>
      <c r="AX509">
        <v>39478808</v>
      </c>
      <c r="AY509">
        <v>1</v>
      </c>
      <c r="AZ509">
        <v>0</v>
      </c>
      <c r="BA509">
        <v>472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Y509*Source!I308</f>
        <v>0.15</v>
      </c>
      <c r="CY509">
        <f>AB509</f>
        <v>402.8</v>
      </c>
      <c r="CZ509">
        <f>AF509</f>
        <v>65.709999999999994</v>
      </c>
      <c r="DA509">
        <f>AJ509</f>
        <v>6.13</v>
      </c>
      <c r="DB509">
        <v>0</v>
      </c>
    </row>
    <row r="510" spans="1:106" x14ac:dyDescent="0.2">
      <c r="A510">
        <f>ROW(Source!A308)</f>
        <v>308</v>
      </c>
      <c r="B510">
        <v>39476960</v>
      </c>
      <c r="C510">
        <v>39478803</v>
      </c>
      <c r="D510">
        <v>36796178</v>
      </c>
      <c r="E510">
        <v>17</v>
      </c>
      <c r="F510">
        <v>1</v>
      </c>
      <c r="G510">
        <v>1</v>
      </c>
      <c r="H510">
        <v>3</v>
      </c>
      <c r="I510" t="s">
        <v>672</v>
      </c>
      <c r="J510" t="s">
        <v>3</v>
      </c>
      <c r="K510" t="s">
        <v>673</v>
      </c>
      <c r="L510">
        <v>1348</v>
      </c>
      <c r="N510">
        <v>1009</v>
      </c>
      <c r="O510" t="s">
        <v>34</v>
      </c>
      <c r="P510" t="s">
        <v>34</v>
      </c>
      <c r="Q510">
        <v>1000</v>
      </c>
      <c r="W510">
        <v>0</v>
      </c>
      <c r="X510">
        <v>1360257570</v>
      </c>
      <c r="Y510">
        <v>1.4E-3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6.13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3</v>
      </c>
      <c r="AT510">
        <v>1.4E-3</v>
      </c>
      <c r="AU510" t="s">
        <v>3</v>
      </c>
      <c r="AV510">
        <v>0</v>
      </c>
      <c r="AW510">
        <v>2</v>
      </c>
      <c r="AX510">
        <v>39478809</v>
      </c>
      <c r="AY510">
        <v>1</v>
      </c>
      <c r="AZ510">
        <v>0</v>
      </c>
      <c r="BA510">
        <v>473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Y510*Source!I308</f>
        <v>2.8E-3</v>
      </c>
      <c r="CY510">
        <f>AA510</f>
        <v>0</v>
      </c>
      <c r="CZ510">
        <f>AE510</f>
        <v>0</v>
      </c>
      <c r="DA510">
        <f>AI510</f>
        <v>6.13</v>
      </c>
      <c r="DB510">
        <v>0</v>
      </c>
    </row>
    <row r="511" spans="1:106" x14ac:dyDescent="0.2">
      <c r="A511">
        <f>ROW(Source!A308)</f>
        <v>308</v>
      </c>
      <c r="B511">
        <v>39476960</v>
      </c>
      <c r="C511">
        <v>39478803</v>
      </c>
      <c r="D511">
        <v>36804426</v>
      </c>
      <c r="E511">
        <v>1</v>
      </c>
      <c r="F511">
        <v>1</v>
      </c>
      <c r="G511">
        <v>1</v>
      </c>
      <c r="H511">
        <v>3</v>
      </c>
      <c r="I511" t="s">
        <v>668</v>
      </c>
      <c r="J511" t="s">
        <v>670</v>
      </c>
      <c r="K511" t="s">
        <v>669</v>
      </c>
      <c r="L511">
        <v>1348</v>
      </c>
      <c r="N511">
        <v>1009</v>
      </c>
      <c r="O511" t="s">
        <v>34</v>
      </c>
      <c r="P511" t="s">
        <v>34</v>
      </c>
      <c r="Q511">
        <v>1000</v>
      </c>
      <c r="W511">
        <v>0</v>
      </c>
      <c r="X511">
        <v>-659141064</v>
      </c>
      <c r="Y511">
        <v>1.4E-3</v>
      </c>
      <c r="AA511">
        <v>121396.37</v>
      </c>
      <c r="AB511">
        <v>0</v>
      </c>
      <c r="AC511">
        <v>0</v>
      </c>
      <c r="AD511">
        <v>0</v>
      </c>
      <c r="AE511">
        <v>19803.650000000001</v>
      </c>
      <c r="AF511">
        <v>0</v>
      </c>
      <c r="AG511">
        <v>0</v>
      </c>
      <c r="AH511">
        <v>0</v>
      </c>
      <c r="AI511">
        <v>6.13</v>
      </c>
      <c r="AJ511">
        <v>1</v>
      </c>
      <c r="AK511">
        <v>1</v>
      </c>
      <c r="AL511">
        <v>1</v>
      </c>
      <c r="AN511">
        <v>0</v>
      </c>
      <c r="AO511">
        <v>0</v>
      </c>
      <c r="AP511">
        <v>0</v>
      </c>
      <c r="AQ511">
        <v>0</v>
      </c>
      <c r="AR511">
        <v>0</v>
      </c>
      <c r="AS511" t="s">
        <v>3</v>
      </c>
      <c r="AT511">
        <v>1.4E-3</v>
      </c>
      <c r="AU511" t="s">
        <v>3</v>
      </c>
      <c r="AV511">
        <v>0</v>
      </c>
      <c r="AW511">
        <v>1</v>
      </c>
      <c r="AX511">
        <v>-1</v>
      </c>
      <c r="AY511">
        <v>0</v>
      </c>
      <c r="AZ511">
        <v>0</v>
      </c>
      <c r="BA511" t="s">
        <v>3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Y511*Source!I308</f>
        <v>2.8E-3</v>
      </c>
      <c r="CY511">
        <f>AA511</f>
        <v>121396.37</v>
      </c>
      <c r="CZ511">
        <f>AE511</f>
        <v>19803.650000000001</v>
      </c>
      <c r="DA511">
        <f>AI511</f>
        <v>6.13</v>
      </c>
      <c r="DB511">
        <v>0</v>
      </c>
    </row>
    <row r="512" spans="1:106" x14ac:dyDescent="0.2">
      <c r="A512">
        <f>ROW(Source!A308)</f>
        <v>308</v>
      </c>
      <c r="B512">
        <v>39476960</v>
      </c>
      <c r="C512">
        <v>39478803</v>
      </c>
      <c r="D512">
        <v>36879206</v>
      </c>
      <c r="E512">
        <v>1</v>
      </c>
      <c r="F512">
        <v>1</v>
      </c>
      <c r="G512">
        <v>1</v>
      </c>
      <c r="H512">
        <v>3</v>
      </c>
      <c r="I512" t="s">
        <v>664</v>
      </c>
      <c r="J512" t="s">
        <v>666</v>
      </c>
      <c r="K512" t="s">
        <v>665</v>
      </c>
      <c r="L512">
        <v>1354</v>
      </c>
      <c r="N512">
        <v>1010</v>
      </c>
      <c r="O512" t="s">
        <v>415</v>
      </c>
      <c r="P512" t="s">
        <v>415</v>
      </c>
      <c r="Q512">
        <v>1</v>
      </c>
      <c r="W512">
        <v>0</v>
      </c>
      <c r="X512">
        <v>-1035438332</v>
      </c>
      <c r="Y512">
        <v>1</v>
      </c>
      <c r="AA512">
        <v>14121.93</v>
      </c>
      <c r="AB512">
        <v>0</v>
      </c>
      <c r="AC512">
        <v>0</v>
      </c>
      <c r="AD512">
        <v>0</v>
      </c>
      <c r="AE512">
        <v>2303.7399999999998</v>
      </c>
      <c r="AF512">
        <v>0</v>
      </c>
      <c r="AG512">
        <v>0</v>
      </c>
      <c r="AH512">
        <v>0</v>
      </c>
      <c r="AI512">
        <v>6.13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3</v>
      </c>
      <c r="AT512">
        <v>1</v>
      </c>
      <c r="AU512" t="s">
        <v>3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3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Y512*Source!I308</f>
        <v>2</v>
      </c>
      <c r="CY512">
        <f>AA512</f>
        <v>14121.93</v>
      </c>
      <c r="CZ512">
        <f>AE512</f>
        <v>2303.7399999999998</v>
      </c>
      <c r="DA512">
        <f>AI512</f>
        <v>6.13</v>
      </c>
      <c r="DB512">
        <v>0</v>
      </c>
    </row>
    <row r="513" spans="1:106" x14ac:dyDescent="0.2">
      <c r="A513">
        <f>ROW(Source!A346)</f>
        <v>346</v>
      </c>
      <c r="B513">
        <v>39476960</v>
      </c>
      <c r="C513">
        <v>39478995</v>
      </c>
      <c r="D513">
        <v>37065946</v>
      </c>
      <c r="E513">
        <v>1</v>
      </c>
      <c r="F513">
        <v>1</v>
      </c>
      <c r="G513">
        <v>1</v>
      </c>
      <c r="H513">
        <v>1</v>
      </c>
      <c r="I513" t="s">
        <v>794</v>
      </c>
      <c r="J513" t="s">
        <v>3</v>
      </c>
      <c r="K513" t="s">
        <v>795</v>
      </c>
      <c r="L513">
        <v>1191</v>
      </c>
      <c r="N513">
        <v>1013</v>
      </c>
      <c r="O513" t="s">
        <v>796</v>
      </c>
      <c r="P513" t="s">
        <v>796</v>
      </c>
      <c r="Q513">
        <v>1</v>
      </c>
      <c r="W513">
        <v>0</v>
      </c>
      <c r="X513">
        <v>152375061</v>
      </c>
      <c r="Y513">
        <v>158</v>
      </c>
      <c r="AA513">
        <v>0</v>
      </c>
      <c r="AB513">
        <v>0</v>
      </c>
      <c r="AC513">
        <v>0</v>
      </c>
      <c r="AD513">
        <v>48.24</v>
      </c>
      <c r="AE513">
        <v>0</v>
      </c>
      <c r="AF513">
        <v>0</v>
      </c>
      <c r="AG513">
        <v>0</v>
      </c>
      <c r="AH513">
        <v>7.87</v>
      </c>
      <c r="AI513">
        <v>1</v>
      </c>
      <c r="AJ513">
        <v>1</v>
      </c>
      <c r="AK513">
        <v>1</v>
      </c>
      <c r="AL513">
        <v>6.13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158</v>
      </c>
      <c r="AU513" t="s">
        <v>3</v>
      </c>
      <c r="AV513">
        <v>1</v>
      </c>
      <c r="AW513">
        <v>2</v>
      </c>
      <c r="AX513">
        <v>39478996</v>
      </c>
      <c r="AY513">
        <v>1</v>
      </c>
      <c r="AZ513">
        <v>0</v>
      </c>
      <c r="BA513">
        <v>474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Y513*Source!I346</f>
        <v>3.16</v>
      </c>
      <c r="CY513">
        <f>AD513</f>
        <v>48.24</v>
      </c>
      <c r="CZ513">
        <f>AH513</f>
        <v>7.87</v>
      </c>
      <c r="DA513">
        <f>AL513</f>
        <v>6.13</v>
      </c>
      <c r="DB513">
        <v>0</v>
      </c>
    </row>
    <row r="514" spans="1:106" x14ac:dyDescent="0.2">
      <c r="A514">
        <f>ROW(Source!A346)</f>
        <v>346</v>
      </c>
      <c r="B514">
        <v>39476960</v>
      </c>
      <c r="C514">
        <v>39478995</v>
      </c>
      <c r="D514">
        <v>37064876</v>
      </c>
      <c r="E514">
        <v>1</v>
      </c>
      <c r="F514">
        <v>1</v>
      </c>
      <c r="G514">
        <v>1</v>
      </c>
      <c r="H514">
        <v>1</v>
      </c>
      <c r="I514" t="s">
        <v>797</v>
      </c>
      <c r="J514" t="s">
        <v>3</v>
      </c>
      <c r="K514" t="s">
        <v>798</v>
      </c>
      <c r="L514">
        <v>1191</v>
      </c>
      <c r="N514">
        <v>1013</v>
      </c>
      <c r="O514" t="s">
        <v>796</v>
      </c>
      <c r="P514" t="s">
        <v>796</v>
      </c>
      <c r="Q514">
        <v>1</v>
      </c>
      <c r="W514">
        <v>0</v>
      </c>
      <c r="X514">
        <v>-1417349443</v>
      </c>
      <c r="Y514">
        <v>3.82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6.13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3.82</v>
      </c>
      <c r="AU514" t="s">
        <v>3</v>
      </c>
      <c r="AV514">
        <v>2</v>
      </c>
      <c r="AW514">
        <v>2</v>
      </c>
      <c r="AX514">
        <v>39478997</v>
      </c>
      <c r="AY514">
        <v>1</v>
      </c>
      <c r="AZ514">
        <v>0</v>
      </c>
      <c r="BA514">
        <v>475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Y514*Source!I346</f>
        <v>7.6399999999999996E-2</v>
      </c>
      <c r="CY514">
        <f>AD514</f>
        <v>0</v>
      </c>
      <c r="CZ514">
        <f>AH514</f>
        <v>0</v>
      </c>
      <c r="DA514">
        <f>AL514</f>
        <v>1</v>
      </c>
      <c r="DB514">
        <v>0</v>
      </c>
    </row>
    <row r="515" spans="1:106" x14ac:dyDescent="0.2">
      <c r="A515">
        <f>ROW(Source!A346)</f>
        <v>346</v>
      </c>
      <c r="B515">
        <v>39476960</v>
      </c>
      <c r="C515">
        <v>39478995</v>
      </c>
      <c r="D515">
        <v>36882452</v>
      </c>
      <c r="E515">
        <v>1</v>
      </c>
      <c r="F515">
        <v>1</v>
      </c>
      <c r="G515">
        <v>1</v>
      </c>
      <c r="H515">
        <v>2</v>
      </c>
      <c r="I515" t="s">
        <v>799</v>
      </c>
      <c r="J515" t="s">
        <v>800</v>
      </c>
      <c r="K515" t="s">
        <v>801</v>
      </c>
      <c r="L515">
        <v>1368</v>
      </c>
      <c r="N515">
        <v>1011</v>
      </c>
      <c r="O515" t="s">
        <v>802</v>
      </c>
      <c r="P515" t="s">
        <v>802</v>
      </c>
      <c r="Q515">
        <v>1</v>
      </c>
      <c r="W515">
        <v>0</v>
      </c>
      <c r="X515">
        <v>1188625873</v>
      </c>
      <c r="Y515">
        <v>3.82</v>
      </c>
      <c r="AA515">
        <v>0</v>
      </c>
      <c r="AB515">
        <v>191.62</v>
      </c>
      <c r="AC515">
        <v>13.5</v>
      </c>
      <c r="AD515">
        <v>0</v>
      </c>
      <c r="AE515">
        <v>0</v>
      </c>
      <c r="AF515">
        <v>31.26</v>
      </c>
      <c r="AG515">
        <v>13.5</v>
      </c>
      <c r="AH515">
        <v>0</v>
      </c>
      <c r="AI515">
        <v>1</v>
      </c>
      <c r="AJ515">
        <v>6.13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3.82</v>
      </c>
      <c r="AU515" t="s">
        <v>3</v>
      </c>
      <c r="AV515">
        <v>0</v>
      </c>
      <c r="AW515">
        <v>2</v>
      </c>
      <c r="AX515">
        <v>39478998</v>
      </c>
      <c r="AY515">
        <v>1</v>
      </c>
      <c r="AZ515">
        <v>0</v>
      </c>
      <c r="BA515">
        <v>476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Y515*Source!I346</f>
        <v>7.6399999999999996E-2</v>
      </c>
      <c r="CY515">
        <f>AB515</f>
        <v>191.62</v>
      </c>
      <c r="CZ515">
        <f>AF515</f>
        <v>31.26</v>
      </c>
      <c r="DA515">
        <f>AJ515</f>
        <v>6.13</v>
      </c>
      <c r="DB515">
        <v>0</v>
      </c>
    </row>
    <row r="516" spans="1:106" x14ac:dyDescent="0.2">
      <c r="A516">
        <f>ROW(Source!A347)</f>
        <v>347</v>
      </c>
      <c r="B516">
        <v>39476960</v>
      </c>
      <c r="C516">
        <v>39478999</v>
      </c>
      <c r="D516">
        <v>37066837</v>
      </c>
      <c r="E516">
        <v>1</v>
      </c>
      <c r="F516">
        <v>1</v>
      </c>
      <c r="G516">
        <v>1</v>
      </c>
      <c r="H516">
        <v>1</v>
      </c>
      <c r="I516" t="s">
        <v>1049</v>
      </c>
      <c r="J516" t="s">
        <v>3</v>
      </c>
      <c r="K516" t="s">
        <v>1050</v>
      </c>
      <c r="L516">
        <v>1191</v>
      </c>
      <c r="N516">
        <v>1013</v>
      </c>
      <c r="O516" t="s">
        <v>796</v>
      </c>
      <c r="P516" t="s">
        <v>796</v>
      </c>
      <c r="Q516">
        <v>1</v>
      </c>
      <c r="W516">
        <v>0</v>
      </c>
      <c r="X516">
        <v>1850719656</v>
      </c>
      <c r="Y516">
        <v>34.659999999999997</v>
      </c>
      <c r="AA516">
        <v>0</v>
      </c>
      <c r="AB516">
        <v>0</v>
      </c>
      <c r="AC516">
        <v>0</v>
      </c>
      <c r="AD516">
        <v>50.94</v>
      </c>
      <c r="AE516">
        <v>0</v>
      </c>
      <c r="AF516">
        <v>0</v>
      </c>
      <c r="AG516">
        <v>0</v>
      </c>
      <c r="AH516">
        <v>8.31</v>
      </c>
      <c r="AI516">
        <v>1</v>
      </c>
      <c r="AJ516">
        <v>1</v>
      </c>
      <c r="AK516">
        <v>1</v>
      </c>
      <c r="AL516">
        <v>6.13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34.659999999999997</v>
      </c>
      <c r="AU516" t="s">
        <v>3</v>
      </c>
      <c r="AV516">
        <v>1</v>
      </c>
      <c r="AW516">
        <v>2</v>
      </c>
      <c r="AX516">
        <v>39479000</v>
      </c>
      <c r="AY516">
        <v>1</v>
      </c>
      <c r="AZ516">
        <v>0</v>
      </c>
      <c r="BA516">
        <v>477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Y516*Source!I347</f>
        <v>10.744599999999998</v>
      </c>
      <c r="CY516">
        <f>AD516</f>
        <v>50.94</v>
      </c>
      <c r="CZ516">
        <f>AH516</f>
        <v>8.31</v>
      </c>
      <c r="DA516">
        <f>AL516</f>
        <v>6.13</v>
      </c>
      <c r="DB516">
        <v>0</v>
      </c>
    </row>
    <row r="517" spans="1:106" x14ac:dyDescent="0.2">
      <c r="A517">
        <f>ROW(Source!A347)</f>
        <v>347</v>
      </c>
      <c r="B517">
        <v>39476960</v>
      </c>
      <c r="C517">
        <v>39478999</v>
      </c>
      <c r="D517">
        <v>37064876</v>
      </c>
      <c r="E517">
        <v>1</v>
      </c>
      <c r="F517">
        <v>1</v>
      </c>
      <c r="G517">
        <v>1</v>
      </c>
      <c r="H517">
        <v>1</v>
      </c>
      <c r="I517" t="s">
        <v>797</v>
      </c>
      <c r="J517" t="s">
        <v>3</v>
      </c>
      <c r="K517" t="s">
        <v>798</v>
      </c>
      <c r="L517">
        <v>1191</v>
      </c>
      <c r="N517">
        <v>1013</v>
      </c>
      <c r="O517" t="s">
        <v>796</v>
      </c>
      <c r="P517" t="s">
        <v>796</v>
      </c>
      <c r="Q517">
        <v>1</v>
      </c>
      <c r="W517">
        <v>0</v>
      </c>
      <c r="X517">
        <v>-1417349443</v>
      </c>
      <c r="Y517">
        <v>0.1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6.13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3</v>
      </c>
      <c r="AT517">
        <v>0.1</v>
      </c>
      <c r="AU517" t="s">
        <v>3</v>
      </c>
      <c r="AV517">
        <v>2</v>
      </c>
      <c r="AW517">
        <v>2</v>
      </c>
      <c r="AX517">
        <v>39479001</v>
      </c>
      <c r="AY517">
        <v>1</v>
      </c>
      <c r="AZ517">
        <v>0</v>
      </c>
      <c r="BA517">
        <v>478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Y517*Source!I347</f>
        <v>3.1E-2</v>
      </c>
      <c r="CY517">
        <f>AD517</f>
        <v>0</v>
      </c>
      <c r="CZ517">
        <f>AH517</f>
        <v>0</v>
      </c>
      <c r="DA517">
        <f>AL517</f>
        <v>1</v>
      </c>
      <c r="DB517">
        <v>0</v>
      </c>
    </row>
    <row r="518" spans="1:106" x14ac:dyDescent="0.2">
      <c r="A518">
        <f>ROW(Source!A347)</f>
        <v>347</v>
      </c>
      <c r="B518">
        <v>39476960</v>
      </c>
      <c r="C518">
        <v>39478999</v>
      </c>
      <c r="D518">
        <v>36882452</v>
      </c>
      <c r="E518">
        <v>1</v>
      </c>
      <c r="F518">
        <v>1</v>
      </c>
      <c r="G518">
        <v>1</v>
      </c>
      <c r="H518">
        <v>2</v>
      </c>
      <c r="I518" t="s">
        <v>799</v>
      </c>
      <c r="J518" t="s">
        <v>800</v>
      </c>
      <c r="K518" t="s">
        <v>801</v>
      </c>
      <c r="L518">
        <v>1368</v>
      </c>
      <c r="N518">
        <v>1011</v>
      </c>
      <c r="O518" t="s">
        <v>802</v>
      </c>
      <c r="P518" t="s">
        <v>802</v>
      </c>
      <c r="Q518">
        <v>1</v>
      </c>
      <c r="W518">
        <v>0</v>
      </c>
      <c r="X518">
        <v>1188625873</v>
      </c>
      <c r="Y518">
        <v>0.1</v>
      </c>
      <c r="AA518">
        <v>0</v>
      </c>
      <c r="AB518">
        <v>191.62</v>
      </c>
      <c r="AC518">
        <v>13.5</v>
      </c>
      <c r="AD518">
        <v>0</v>
      </c>
      <c r="AE518">
        <v>0</v>
      </c>
      <c r="AF518">
        <v>31.26</v>
      </c>
      <c r="AG518">
        <v>13.5</v>
      </c>
      <c r="AH518">
        <v>0</v>
      </c>
      <c r="AI518">
        <v>1</v>
      </c>
      <c r="AJ518">
        <v>6.13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0.1</v>
      </c>
      <c r="AU518" t="s">
        <v>3</v>
      </c>
      <c r="AV518">
        <v>0</v>
      </c>
      <c r="AW518">
        <v>2</v>
      </c>
      <c r="AX518">
        <v>39479002</v>
      </c>
      <c r="AY518">
        <v>1</v>
      </c>
      <c r="AZ518">
        <v>0</v>
      </c>
      <c r="BA518">
        <v>479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Y518*Source!I347</f>
        <v>3.1E-2</v>
      </c>
      <c r="CY518">
        <f>AB518</f>
        <v>191.62</v>
      </c>
      <c r="CZ518">
        <f>AF518</f>
        <v>31.26</v>
      </c>
      <c r="DA518">
        <f>AJ518</f>
        <v>6.13</v>
      </c>
      <c r="DB518">
        <v>0</v>
      </c>
    </row>
    <row r="519" spans="1:106" x14ac:dyDescent="0.2">
      <c r="A519">
        <f>ROW(Source!A347)</f>
        <v>347</v>
      </c>
      <c r="B519">
        <v>39476960</v>
      </c>
      <c r="C519">
        <v>39478999</v>
      </c>
      <c r="D519">
        <v>36883789</v>
      </c>
      <c r="E519">
        <v>1</v>
      </c>
      <c r="F519">
        <v>1</v>
      </c>
      <c r="G519">
        <v>1</v>
      </c>
      <c r="H519">
        <v>2</v>
      </c>
      <c r="I519" t="s">
        <v>811</v>
      </c>
      <c r="J519" t="s">
        <v>812</v>
      </c>
      <c r="K519" t="s">
        <v>813</v>
      </c>
      <c r="L519">
        <v>1368</v>
      </c>
      <c r="N519">
        <v>1011</v>
      </c>
      <c r="O519" t="s">
        <v>802</v>
      </c>
      <c r="P519" t="s">
        <v>802</v>
      </c>
      <c r="Q519">
        <v>1</v>
      </c>
      <c r="W519">
        <v>0</v>
      </c>
      <c r="X519">
        <v>792402865</v>
      </c>
      <c r="Y519">
        <v>3.3</v>
      </c>
      <c r="AA519">
        <v>0</v>
      </c>
      <c r="AB519">
        <v>7.36</v>
      </c>
      <c r="AC519">
        <v>0</v>
      </c>
      <c r="AD519">
        <v>0</v>
      </c>
      <c r="AE519">
        <v>0</v>
      </c>
      <c r="AF519">
        <v>1.2</v>
      </c>
      <c r="AG519">
        <v>0</v>
      </c>
      <c r="AH519">
        <v>0</v>
      </c>
      <c r="AI519">
        <v>1</v>
      </c>
      <c r="AJ519">
        <v>6.13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3.3</v>
      </c>
      <c r="AU519" t="s">
        <v>3</v>
      </c>
      <c r="AV519">
        <v>0</v>
      </c>
      <c r="AW519">
        <v>2</v>
      </c>
      <c r="AX519">
        <v>39479003</v>
      </c>
      <c r="AY519">
        <v>1</v>
      </c>
      <c r="AZ519">
        <v>0</v>
      </c>
      <c r="BA519">
        <v>480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Y519*Source!I347</f>
        <v>1.0229999999999999</v>
      </c>
      <c r="CY519">
        <f>AB519</f>
        <v>7.36</v>
      </c>
      <c r="CZ519">
        <f>AF519</f>
        <v>1.2</v>
      </c>
      <c r="DA519">
        <f>AJ519</f>
        <v>6.13</v>
      </c>
      <c r="DB519">
        <v>0</v>
      </c>
    </row>
    <row r="520" spans="1:106" x14ac:dyDescent="0.2">
      <c r="A520">
        <f>ROW(Source!A347)</f>
        <v>347</v>
      </c>
      <c r="B520">
        <v>39476960</v>
      </c>
      <c r="C520">
        <v>39478999</v>
      </c>
      <c r="D520">
        <v>36800140</v>
      </c>
      <c r="E520">
        <v>1</v>
      </c>
      <c r="F520">
        <v>1</v>
      </c>
      <c r="G520">
        <v>1</v>
      </c>
      <c r="H520">
        <v>3</v>
      </c>
      <c r="I520" t="s">
        <v>814</v>
      </c>
      <c r="J520" t="s">
        <v>815</v>
      </c>
      <c r="K520" t="s">
        <v>816</v>
      </c>
      <c r="L520">
        <v>1339</v>
      </c>
      <c r="N520">
        <v>1007</v>
      </c>
      <c r="O520" t="s">
        <v>25</v>
      </c>
      <c r="P520" t="s">
        <v>25</v>
      </c>
      <c r="Q520">
        <v>1</v>
      </c>
      <c r="W520">
        <v>0</v>
      </c>
      <c r="X520">
        <v>1706747518</v>
      </c>
      <c r="Y520">
        <v>0</v>
      </c>
      <c r="AA520">
        <v>236.07</v>
      </c>
      <c r="AB520">
        <v>0</v>
      </c>
      <c r="AC520">
        <v>0</v>
      </c>
      <c r="AD520">
        <v>0</v>
      </c>
      <c r="AE520">
        <v>38.51</v>
      </c>
      <c r="AF520">
        <v>0</v>
      </c>
      <c r="AG520">
        <v>0</v>
      </c>
      <c r="AH520">
        <v>0</v>
      </c>
      <c r="AI520">
        <v>6.13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0.43</v>
      </c>
      <c r="AU520" t="s">
        <v>683</v>
      </c>
      <c r="AV520">
        <v>0</v>
      </c>
      <c r="AW520">
        <v>2</v>
      </c>
      <c r="AX520">
        <v>39479004</v>
      </c>
      <c r="AY520">
        <v>1</v>
      </c>
      <c r="AZ520">
        <v>0</v>
      </c>
      <c r="BA520">
        <v>481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Y520*Source!I347</f>
        <v>0</v>
      </c>
      <c r="CY520">
        <f>AA520</f>
        <v>236.07</v>
      </c>
      <c r="CZ520">
        <f>AE520</f>
        <v>38.51</v>
      </c>
      <c r="DA520">
        <f>AI520</f>
        <v>6.13</v>
      </c>
      <c r="DB520">
        <v>0</v>
      </c>
    </row>
    <row r="521" spans="1:106" x14ac:dyDescent="0.2">
      <c r="A521">
        <f>ROW(Source!A347)</f>
        <v>347</v>
      </c>
      <c r="B521">
        <v>39476960</v>
      </c>
      <c r="C521">
        <v>39478999</v>
      </c>
      <c r="D521">
        <v>36800159</v>
      </c>
      <c r="E521">
        <v>1</v>
      </c>
      <c r="F521">
        <v>1</v>
      </c>
      <c r="G521">
        <v>1</v>
      </c>
      <c r="H521">
        <v>3</v>
      </c>
      <c r="I521" t="s">
        <v>817</v>
      </c>
      <c r="J521" t="s">
        <v>818</v>
      </c>
      <c r="K521" t="s">
        <v>819</v>
      </c>
      <c r="L521">
        <v>1339</v>
      </c>
      <c r="N521">
        <v>1007</v>
      </c>
      <c r="O521" t="s">
        <v>25</v>
      </c>
      <c r="P521" t="s">
        <v>25</v>
      </c>
      <c r="Q521">
        <v>1</v>
      </c>
      <c r="W521">
        <v>0</v>
      </c>
      <c r="X521">
        <v>1262771840</v>
      </c>
      <c r="Y521">
        <v>0</v>
      </c>
      <c r="AA521">
        <v>38.130000000000003</v>
      </c>
      <c r="AB521">
        <v>0</v>
      </c>
      <c r="AC521">
        <v>0</v>
      </c>
      <c r="AD521">
        <v>0</v>
      </c>
      <c r="AE521">
        <v>6.22</v>
      </c>
      <c r="AF521">
        <v>0</v>
      </c>
      <c r="AG521">
        <v>0</v>
      </c>
      <c r="AH521">
        <v>0</v>
      </c>
      <c r="AI521">
        <v>6.13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2.74</v>
      </c>
      <c r="AU521" t="s">
        <v>683</v>
      </c>
      <c r="AV521">
        <v>0</v>
      </c>
      <c r="AW521">
        <v>2</v>
      </c>
      <c r="AX521">
        <v>39479005</v>
      </c>
      <c r="AY521">
        <v>1</v>
      </c>
      <c r="AZ521">
        <v>0</v>
      </c>
      <c r="BA521">
        <v>482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Y521*Source!I347</f>
        <v>0</v>
      </c>
      <c r="CY521">
        <f>AA521</f>
        <v>38.130000000000003</v>
      </c>
      <c r="CZ521">
        <f>AE521</f>
        <v>6.22</v>
      </c>
      <c r="DA521">
        <f>AI521</f>
        <v>6.13</v>
      </c>
      <c r="DB521">
        <v>0</v>
      </c>
    </row>
    <row r="522" spans="1:106" x14ac:dyDescent="0.2">
      <c r="A522">
        <f>ROW(Source!A348)</f>
        <v>348</v>
      </c>
      <c r="B522">
        <v>39476960</v>
      </c>
      <c r="C522">
        <v>39479008</v>
      </c>
      <c r="D522">
        <v>37070090</v>
      </c>
      <c r="E522">
        <v>1</v>
      </c>
      <c r="F522">
        <v>1</v>
      </c>
      <c r="G522">
        <v>1</v>
      </c>
      <c r="H522">
        <v>1</v>
      </c>
      <c r="I522" t="s">
        <v>1226</v>
      </c>
      <c r="J522" t="s">
        <v>3</v>
      </c>
      <c r="K522" t="s">
        <v>1227</v>
      </c>
      <c r="L522">
        <v>1191</v>
      </c>
      <c r="N522">
        <v>1013</v>
      </c>
      <c r="O522" t="s">
        <v>796</v>
      </c>
      <c r="P522" t="s">
        <v>796</v>
      </c>
      <c r="Q522">
        <v>1</v>
      </c>
      <c r="W522">
        <v>0</v>
      </c>
      <c r="X522">
        <v>-814890593</v>
      </c>
      <c r="Y522">
        <v>104.46599999999999</v>
      </c>
      <c r="AA522">
        <v>0</v>
      </c>
      <c r="AB522">
        <v>0</v>
      </c>
      <c r="AC522">
        <v>0</v>
      </c>
      <c r="AD522">
        <v>54.99</v>
      </c>
      <c r="AE522">
        <v>0</v>
      </c>
      <c r="AF522">
        <v>0</v>
      </c>
      <c r="AG522">
        <v>0</v>
      </c>
      <c r="AH522">
        <v>8.9700000000000006</v>
      </c>
      <c r="AI522">
        <v>1</v>
      </c>
      <c r="AJ522">
        <v>1</v>
      </c>
      <c r="AK522">
        <v>1</v>
      </c>
      <c r="AL522">
        <v>6.13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75.7</v>
      </c>
      <c r="AU522" t="s">
        <v>54</v>
      </c>
      <c r="AV522">
        <v>1</v>
      </c>
      <c r="AW522">
        <v>2</v>
      </c>
      <c r="AX522">
        <v>39479009</v>
      </c>
      <c r="AY522">
        <v>1</v>
      </c>
      <c r="AZ522">
        <v>0</v>
      </c>
      <c r="BA522">
        <v>484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Y522*Source!I348</f>
        <v>6.3515327999999993</v>
      </c>
      <c r="CY522">
        <f>AD522</f>
        <v>54.99</v>
      </c>
      <c r="CZ522">
        <f>AH522</f>
        <v>8.9700000000000006</v>
      </c>
      <c r="DA522">
        <f>AL522</f>
        <v>6.13</v>
      </c>
      <c r="DB522">
        <v>0</v>
      </c>
    </row>
    <row r="523" spans="1:106" x14ac:dyDescent="0.2">
      <c r="A523">
        <f>ROW(Source!A348)</f>
        <v>348</v>
      </c>
      <c r="B523">
        <v>39476960</v>
      </c>
      <c r="C523">
        <v>39479008</v>
      </c>
      <c r="D523">
        <v>37064876</v>
      </c>
      <c r="E523">
        <v>1</v>
      </c>
      <c r="F523">
        <v>1</v>
      </c>
      <c r="G523">
        <v>1</v>
      </c>
      <c r="H523">
        <v>1</v>
      </c>
      <c r="I523" t="s">
        <v>797</v>
      </c>
      <c r="J523" t="s">
        <v>3</v>
      </c>
      <c r="K523" t="s">
        <v>798</v>
      </c>
      <c r="L523">
        <v>1191</v>
      </c>
      <c r="N523">
        <v>1013</v>
      </c>
      <c r="O523" t="s">
        <v>796</v>
      </c>
      <c r="P523" t="s">
        <v>796</v>
      </c>
      <c r="Q523">
        <v>1</v>
      </c>
      <c r="W523">
        <v>0</v>
      </c>
      <c r="X523">
        <v>-1417349443</v>
      </c>
      <c r="Y523">
        <v>6.06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6.13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3</v>
      </c>
      <c r="AT523">
        <v>6.06</v>
      </c>
      <c r="AU523" t="s">
        <v>3</v>
      </c>
      <c r="AV523">
        <v>2</v>
      </c>
      <c r="AW523">
        <v>2</v>
      </c>
      <c r="AX523">
        <v>39479010</v>
      </c>
      <c r="AY523">
        <v>1</v>
      </c>
      <c r="AZ523">
        <v>2048</v>
      </c>
      <c r="BA523">
        <v>485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Y523*Source!I348</f>
        <v>0.368448</v>
      </c>
      <c r="CY523">
        <f>AD523</f>
        <v>0</v>
      </c>
      <c r="CZ523">
        <f>AH523</f>
        <v>0</v>
      </c>
      <c r="DA523">
        <f>AL523</f>
        <v>1</v>
      </c>
      <c r="DB523">
        <v>0</v>
      </c>
    </row>
    <row r="524" spans="1:106" x14ac:dyDescent="0.2">
      <c r="A524">
        <f>ROW(Source!A348)</f>
        <v>348</v>
      </c>
      <c r="B524">
        <v>39476960</v>
      </c>
      <c r="C524">
        <v>39479008</v>
      </c>
      <c r="D524">
        <v>36882159</v>
      </c>
      <c r="E524">
        <v>1</v>
      </c>
      <c r="F524">
        <v>1</v>
      </c>
      <c r="G524">
        <v>1</v>
      </c>
      <c r="H524">
        <v>2</v>
      </c>
      <c r="I524" t="s">
        <v>825</v>
      </c>
      <c r="J524" t="s">
        <v>826</v>
      </c>
      <c r="K524" t="s">
        <v>827</v>
      </c>
      <c r="L524">
        <v>1368</v>
      </c>
      <c r="N524">
        <v>1011</v>
      </c>
      <c r="O524" t="s">
        <v>802</v>
      </c>
      <c r="P524" t="s">
        <v>802</v>
      </c>
      <c r="Q524">
        <v>1</v>
      </c>
      <c r="W524">
        <v>0</v>
      </c>
      <c r="X524">
        <v>-1718674368</v>
      </c>
      <c r="Y524">
        <v>0.21000000000000002</v>
      </c>
      <c r="AA524">
        <v>0</v>
      </c>
      <c r="AB524">
        <v>686.5</v>
      </c>
      <c r="AC524">
        <v>13.5</v>
      </c>
      <c r="AD524">
        <v>0</v>
      </c>
      <c r="AE524">
        <v>0</v>
      </c>
      <c r="AF524">
        <v>111.99</v>
      </c>
      <c r="AG524">
        <v>13.5</v>
      </c>
      <c r="AH524">
        <v>0</v>
      </c>
      <c r="AI524">
        <v>1</v>
      </c>
      <c r="AJ524">
        <v>6.13</v>
      </c>
      <c r="AK524">
        <v>1</v>
      </c>
      <c r="AL524">
        <v>1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3</v>
      </c>
      <c r="AT524">
        <v>0.14000000000000001</v>
      </c>
      <c r="AU524" t="s">
        <v>53</v>
      </c>
      <c r="AV524">
        <v>0</v>
      </c>
      <c r="AW524">
        <v>2</v>
      </c>
      <c r="AX524">
        <v>39479011</v>
      </c>
      <c r="AY524">
        <v>1</v>
      </c>
      <c r="AZ524">
        <v>0</v>
      </c>
      <c r="BA524">
        <v>486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Y524*Source!I348</f>
        <v>1.2768000000000002E-2</v>
      </c>
      <c r="CY524">
        <f>AB524</f>
        <v>686.5</v>
      </c>
      <c r="CZ524">
        <f>AF524</f>
        <v>111.99</v>
      </c>
      <c r="DA524">
        <f>AJ524</f>
        <v>6.13</v>
      </c>
      <c r="DB524">
        <v>0</v>
      </c>
    </row>
    <row r="525" spans="1:106" x14ac:dyDescent="0.2">
      <c r="A525">
        <f>ROW(Source!A348)</f>
        <v>348</v>
      </c>
      <c r="B525">
        <v>39476960</v>
      </c>
      <c r="C525">
        <v>39479008</v>
      </c>
      <c r="D525">
        <v>36882452</v>
      </c>
      <c r="E525">
        <v>1</v>
      </c>
      <c r="F525">
        <v>1</v>
      </c>
      <c r="G525">
        <v>1</v>
      </c>
      <c r="H525">
        <v>2</v>
      </c>
      <c r="I525" t="s">
        <v>799</v>
      </c>
      <c r="J525" t="s">
        <v>800</v>
      </c>
      <c r="K525" t="s">
        <v>801</v>
      </c>
      <c r="L525">
        <v>1368</v>
      </c>
      <c r="N525">
        <v>1011</v>
      </c>
      <c r="O525" t="s">
        <v>802</v>
      </c>
      <c r="P525" t="s">
        <v>802</v>
      </c>
      <c r="Q525">
        <v>1</v>
      </c>
      <c r="W525">
        <v>0</v>
      </c>
      <c r="X525">
        <v>1188625873</v>
      </c>
      <c r="Y525">
        <v>3.87</v>
      </c>
      <c r="AA525">
        <v>0</v>
      </c>
      <c r="AB525">
        <v>191.62</v>
      </c>
      <c r="AC525">
        <v>13.5</v>
      </c>
      <c r="AD525">
        <v>0</v>
      </c>
      <c r="AE525">
        <v>0</v>
      </c>
      <c r="AF525">
        <v>31.26</v>
      </c>
      <c r="AG525">
        <v>13.5</v>
      </c>
      <c r="AH525">
        <v>0</v>
      </c>
      <c r="AI525">
        <v>1</v>
      </c>
      <c r="AJ525">
        <v>6.13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2.58</v>
      </c>
      <c r="AU525" t="s">
        <v>53</v>
      </c>
      <c r="AV525">
        <v>0</v>
      </c>
      <c r="AW525">
        <v>2</v>
      </c>
      <c r="AX525">
        <v>39479012</v>
      </c>
      <c r="AY525">
        <v>1</v>
      </c>
      <c r="AZ525">
        <v>0</v>
      </c>
      <c r="BA525">
        <v>487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Y525*Source!I348</f>
        <v>0.23529600000000001</v>
      </c>
      <c r="CY525">
        <f>AB525</f>
        <v>191.62</v>
      </c>
      <c r="CZ525">
        <f>AF525</f>
        <v>31.26</v>
      </c>
      <c r="DA525">
        <f>AJ525</f>
        <v>6.13</v>
      </c>
      <c r="DB525">
        <v>0</v>
      </c>
    </row>
    <row r="526" spans="1:106" x14ac:dyDescent="0.2">
      <c r="A526">
        <f>ROW(Source!A348)</f>
        <v>348</v>
      </c>
      <c r="B526">
        <v>39476960</v>
      </c>
      <c r="C526">
        <v>39479008</v>
      </c>
      <c r="D526">
        <v>36883554</v>
      </c>
      <c r="E526">
        <v>1</v>
      </c>
      <c r="F526">
        <v>1</v>
      </c>
      <c r="G526">
        <v>1</v>
      </c>
      <c r="H526">
        <v>2</v>
      </c>
      <c r="I526" t="s">
        <v>834</v>
      </c>
      <c r="J526" t="s">
        <v>835</v>
      </c>
      <c r="K526" t="s">
        <v>836</v>
      </c>
      <c r="L526">
        <v>1368</v>
      </c>
      <c r="N526">
        <v>1011</v>
      </c>
      <c r="O526" t="s">
        <v>802</v>
      </c>
      <c r="P526" t="s">
        <v>802</v>
      </c>
      <c r="Q526">
        <v>1</v>
      </c>
      <c r="W526">
        <v>0</v>
      </c>
      <c r="X526">
        <v>1372534845</v>
      </c>
      <c r="Y526">
        <v>5.01</v>
      </c>
      <c r="AA526">
        <v>0</v>
      </c>
      <c r="AB526">
        <v>402.8</v>
      </c>
      <c r="AC526">
        <v>11.6</v>
      </c>
      <c r="AD526">
        <v>0</v>
      </c>
      <c r="AE526">
        <v>0</v>
      </c>
      <c r="AF526">
        <v>65.709999999999994</v>
      </c>
      <c r="AG526">
        <v>11.6</v>
      </c>
      <c r="AH526">
        <v>0</v>
      </c>
      <c r="AI526">
        <v>1</v>
      </c>
      <c r="AJ526">
        <v>6.13</v>
      </c>
      <c r="AK526">
        <v>1</v>
      </c>
      <c r="AL526">
        <v>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3</v>
      </c>
      <c r="AT526">
        <v>3.34</v>
      </c>
      <c r="AU526" t="s">
        <v>53</v>
      </c>
      <c r="AV526">
        <v>0</v>
      </c>
      <c r="AW526">
        <v>2</v>
      </c>
      <c r="AX526">
        <v>39479013</v>
      </c>
      <c r="AY526">
        <v>1</v>
      </c>
      <c r="AZ526">
        <v>0</v>
      </c>
      <c r="BA526">
        <v>488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Y526*Source!I348</f>
        <v>0.30460799999999999</v>
      </c>
      <c r="CY526">
        <f>AB526</f>
        <v>402.8</v>
      </c>
      <c r="CZ526">
        <f>AF526</f>
        <v>65.709999999999994</v>
      </c>
      <c r="DA526">
        <f>AJ526</f>
        <v>6.13</v>
      </c>
      <c r="DB526">
        <v>0</v>
      </c>
    </row>
    <row r="527" spans="1:106" x14ac:dyDescent="0.2">
      <c r="A527">
        <f>ROW(Source!A348)</f>
        <v>348</v>
      </c>
      <c r="B527">
        <v>39476960</v>
      </c>
      <c r="C527">
        <v>39479008</v>
      </c>
      <c r="D527">
        <v>36804607</v>
      </c>
      <c r="E527">
        <v>1</v>
      </c>
      <c r="F527">
        <v>1</v>
      </c>
      <c r="G527">
        <v>1</v>
      </c>
      <c r="H527">
        <v>3</v>
      </c>
      <c r="I527" t="s">
        <v>1234</v>
      </c>
      <c r="J527" t="s">
        <v>1235</v>
      </c>
      <c r="K527" t="s">
        <v>1236</v>
      </c>
      <c r="L527">
        <v>1348</v>
      </c>
      <c r="N527">
        <v>1009</v>
      </c>
      <c r="O527" t="s">
        <v>34</v>
      </c>
      <c r="P527" t="s">
        <v>34</v>
      </c>
      <c r="Q527">
        <v>1000</v>
      </c>
      <c r="W527">
        <v>0</v>
      </c>
      <c r="X527">
        <v>-1198405679</v>
      </c>
      <c r="Y527">
        <v>6.3200000000000001E-3</v>
      </c>
      <c r="AA527">
        <v>155855.25</v>
      </c>
      <c r="AB527">
        <v>0</v>
      </c>
      <c r="AC527">
        <v>0</v>
      </c>
      <c r="AD527">
        <v>0</v>
      </c>
      <c r="AE527">
        <v>25425</v>
      </c>
      <c r="AF527">
        <v>0</v>
      </c>
      <c r="AG527">
        <v>0</v>
      </c>
      <c r="AH527">
        <v>0</v>
      </c>
      <c r="AI527">
        <v>6.13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6.3200000000000001E-3</v>
      </c>
      <c r="AU527" t="s">
        <v>3</v>
      </c>
      <c r="AV527">
        <v>0</v>
      </c>
      <c r="AW527">
        <v>2</v>
      </c>
      <c r="AX527">
        <v>39479014</v>
      </c>
      <c r="AY527">
        <v>1</v>
      </c>
      <c r="AZ527">
        <v>0</v>
      </c>
      <c r="BA527">
        <v>489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Y527*Source!I348</f>
        <v>3.8425600000000003E-4</v>
      </c>
      <c r="CY527">
        <f t="shared" ref="CY527:CY532" si="69">AA527</f>
        <v>155855.25</v>
      </c>
      <c r="CZ527">
        <f t="shared" ref="CZ527:CZ532" si="70">AE527</f>
        <v>25425</v>
      </c>
      <c r="DA527">
        <f t="shared" ref="DA527:DA532" si="71">AI527</f>
        <v>6.13</v>
      </c>
      <c r="DB527">
        <v>0</v>
      </c>
    </row>
    <row r="528" spans="1:106" x14ac:dyDescent="0.2">
      <c r="A528">
        <f>ROW(Source!A348)</f>
        <v>348</v>
      </c>
      <c r="B528">
        <v>39476960</v>
      </c>
      <c r="C528">
        <v>39479008</v>
      </c>
      <c r="D528">
        <v>36807340</v>
      </c>
      <c r="E528">
        <v>1</v>
      </c>
      <c r="F528">
        <v>1</v>
      </c>
      <c r="G528">
        <v>1</v>
      </c>
      <c r="H528">
        <v>3</v>
      </c>
      <c r="I528" t="s">
        <v>1194</v>
      </c>
      <c r="J528" t="s">
        <v>1195</v>
      </c>
      <c r="K528" t="s">
        <v>1196</v>
      </c>
      <c r="L528">
        <v>1339</v>
      </c>
      <c r="N528">
        <v>1007</v>
      </c>
      <c r="O528" t="s">
        <v>25</v>
      </c>
      <c r="P528" t="s">
        <v>25</v>
      </c>
      <c r="Q528">
        <v>1</v>
      </c>
      <c r="W528">
        <v>0</v>
      </c>
      <c r="X528">
        <v>-1019936957</v>
      </c>
      <c r="Y528">
        <v>5.0500000000000003E-2</v>
      </c>
      <c r="AA528">
        <v>2978.57</v>
      </c>
      <c r="AB528">
        <v>0</v>
      </c>
      <c r="AC528">
        <v>0</v>
      </c>
      <c r="AD528">
        <v>0</v>
      </c>
      <c r="AE528">
        <v>485.9</v>
      </c>
      <c r="AF528">
        <v>0</v>
      </c>
      <c r="AG528">
        <v>0</v>
      </c>
      <c r="AH528">
        <v>0</v>
      </c>
      <c r="AI528">
        <v>6.13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5.0500000000000003E-2</v>
      </c>
      <c r="AU528" t="s">
        <v>3</v>
      </c>
      <c r="AV528">
        <v>0</v>
      </c>
      <c r="AW528">
        <v>2</v>
      </c>
      <c r="AX528">
        <v>39479015</v>
      </c>
      <c r="AY528">
        <v>1</v>
      </c>
      <c r="AZ528">
        <v>0</v>
      </c>
      <c r="BA528">
        <v>490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Y528*Source!I348</f>
        <v>3.0704E-3</v>
      </c>
      <c r="CY528">
        <f t="shared" si="69"/>
        <v>2978.57</v>
      </c>
      <c r="CZ528">
        <f t="shared" si="70"/>
        <v>485.9</v>
      </c>
      <c r="DA528">
        <f t="shared" si="71"/>
        <v>6.13</v>
      </c>
      <c r="DB528">
        <v>0</v>
      </c>
    </row>
    <row r="529" spans="1:106" x14ac:dyDescent="0.2">
      <c r="A529">
        <f>ROW(Source!A348)</f>
        <v>348</v>
      </c>
      <c r="B529">
        <v>39476960</v>
      </c>
      <c r="C529">
        <v>39479008</v>
      </c>
      <c r="D529">
        <v>36847307</v>
      </c>
      <c r="E529">
        <v>1</v>
      </c>
      <c r="F529">
        <v>1</v>
      </c>
      <c r="G529">
        <v>1</v>
      </c>
      <c r="H529">
        <v>3</v>
      </c>
      <c r="I529" t="s">
        <v>1237</v>
      </c>
      <c r="J529" t="s">
        <v>1238</v>
      </c>
      <c r="K529" t="s">
        <v>1239</v>
      </c>
      <c r="L529">
        <v>1355</v>
      </c>
      <c r="N529">
        <v>1010</v>
      </c>
      <c r="O529" t="s">
        <v>429</v>
      </c>
      <c r="P529" t="s">
        <v>429</v>
      </c>
      <c r="Q529">
        <v>100</v>
      </c>
      <c r="W529">
        <v>0</v>
      </c>
      <c r="X529">
        <v>2088476946</v>
      </c>
      <c r="Y529">
        <v>2.5299999999999998</v>
      </c>
      <c r="AA529">
        <v>1107.6300000000001</v>
      </c>
      <c r="AB529">
        <v>0</v>
      </c>
      <c r="AC529">
        <v>0</v>
      </c>
      <c r="AD529">
        <v>0</v>
      </c>
      <c r="AE529">
        <v>180.69</v>
      </c>
      <c r="AF529">
        <v>0</v>
      </c>
      <c r="AG529">
        <v>0</v>
      </c>
      <c r="AH529">
        <v>0</v>
      </c>
      <c r="AI529">
        <v>6.13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2.5299999999999998</v>
      </c>
      <c r="AU529" t="s">
        <v>3</v>
      </c>
      <c r="AV529">
        <v>0</v>
      </c>
      <c r="AW529">
        <v>2</v>
      </c>
      <c r="AX529">
        <v>39479016</v>
      </c>
      <c r="AY529">
        <v>1</v>
      </c>
      <c r="AZ529">
        <v>0</v>
      </c>
      <c r="BA529">
        <v>491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Y529*Source!I348</f>
        <v>0.15382399999999999</v>
      </c>
      <c r="CY529">
        <f t="shared" si="69"/>
        <v>1107.6300000000001</v>
      </c>
      <c r="CZ529">
        <f t="shared" si="70"/>
        <v>180.69</v>
      </c>
      <c r="DA529">
        <f t="shared" si="71"/>
        <v>6.13</v>
      </c>
      <c r="DB529">
        <v>0</v>
      </c>
    </row>
    <row r="530" spans="1:106" x14ac:dyDescent="0.2">
      <c r="A530">
        <f>ROW(Source!A348)</f>
        <v>348</v>
      </c>
      <c r="B530">
        <v>39476960</v>
      </c>
      <c r="C530">
        <v>39479008</v>
      </c>
      <c r="D530">
        <v>36847308</v>
      </c>
      <c r="E530">
        <v>1</v>
      </c>
      <c r="F530">
        <v>1</v>
      </c>
      <c r="G530">
        <v>1</v>
      </c>
      <c r="H530">
        <v>3</v>
      </c>
      <c r="I530" t="s">
        <v>1240</v>
      </c>
      <c r="J530" t="s">
        <v>1241</v>
      </c>
      <c r="K530" t="s">
        <v>1242</v>
      </c>
      <c r="L530">
        <v>1355</v>
      </c>
      <c r="N530">
        <v>1010</v>
      </c>
      <c r="O530" t="s">
        <v>429</v>
      </c>
      <c r="P530" t="s">
        <v>429</v>
      </c>
      <c r="Q530">
        <v>100</v>
      </c>
      <c r="W530">
        <v>0</v>
      </c>
      <c r="X530">
        <v>-1866122579</v>
      </c>
      <c r="Y530">
        <v>2.5299999999999998</v>
      </c>
      <c r="AA530">
        <v>1149.19</v>
      </c>
      <c r="AB530">
        <v>0</v>
      </c>
      <c r="AC530">
        <v>0</v>
      </c>
      <c r="AD530">
        <v>0</v>
      </c>
      <c r="AE530">
        <v>187.47</v>
      </c>
      <c r="AF530">
        <v>0</v>
      </c>
      <c r="AG530">
        <v>0</v>
      </c>
      <c r="AH530">
        <v>0</v>
      </c>
      <c r="AI530">
        <v>6.13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2.5299999999999998</v>
      </c>
      <c r="AU530" t="s">
        <v>3</v>
      </c>
      <c r="AV530">
        <v>0</v>
      </c>
      <c r="AW530">
        <v>2</v>
      </c>
      <c r="AX530">
        <v>39479017</v>
      </c>
      <c r="AY530">
        <v>1</v>
      </c>
      <c r="AZ530">
        <v>0</v>
      </c>
      <c r="BA530">
        <v>492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Y530*Source!I348</f>
        <v>0.15382399999999999</v>
      </c>
      <c r="CY530">
        <f t="shared" si="69"/>
        <v>1149.19</v>
      </c>
      <c r="CZ530">
        <f t="shared" si="70"/>
        <v>187.47</v>
      </c>
      <c r="DA530">
        <f t="shared" si="71"/>
        <v>6.13</v>
      </c>
      <c r="DB530">
        <v>0</v>
      </c>
    </row>
    <row r="531" spans="1:106" x14ac:dyDescent="0.2">
      <c r="A531">
        <f>ROW(Source!A348)</f>
        <v>348</v>
      </c>
      <c r="B531">
        <v>39476960</v>
      </c>
      <c r="C531">
        <v>39479008</v>
      </c>
      <c r="D531">
        <v>36797746</v>
      </c>
      <c r="E531">
        <v>17</v>
      </c>
      <c r="F531">
        <v>1</v>
      </c>
      <c r="G531">
        <v>1</v>
      </c>
      <c r="H531">
        <v>3</v>
      </c>
      <c r="I531" t="s">
        <v>695</v>
      </c>
      <c r="J531" t="s">
        <v>3</v>
      </c>
      <c r="K531" t="s">
        <v>696</v>
      </c>
      <c r="L531">
        <v>1033</v>
      </c>
      <c r="N531">
        <v>1013</v>
      </c>
      <c r="O531" t="s">
        <v>692</v>
      </c>
      <c r="P531" t="s">
        <v>692</v>
      </c>
      <c r="Q531">
        <v>1</v>
      </c>
      <c r="W531">
        <v>0</v>
      </c>
      <c r="X531">
        <v>704408924</v>
      </c>
      <c r="Y531">
        <v>100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6.13</v>
      </c>
      <c r="AJ531">
        <v>1</v>
      </c>
      <c r="AK531">
        <v>1</v>
      </c>
      <c r="AL531">
        <v>1</v>
      </c>
      <c r="AN531">
        <v>0</v>
      </c>
      <c r="AO531">
        <v>0</v>
      </c>
      <c r="AP531">
        <v>0</v>
      </c>
      <c r="AQ531">
        <v>0</v>
      </c>
      <c r="AR531">
        <v>0</v>
      </c>
      <c r="AS531" t="s">
        <v>3</v>
      </c>
      <c r="AT531">
        <v>100</v>
      </c>
      <c r="AU531" t="s">
        <v>3</v>
      </c>
      <c r="AV531">
        <v>0</v>
      </c>
      <c r="AW531">
        <v>2</v>
      </c>
      <c r="AX531">
        <v>39479018</v>
      </c>
      <c r="AY531">
        <v>1</v>
      </c>
      <c r="AZ531">
        <v>0</v>
      </c>
      <c r="BA531">
        <v>493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Y531*Source!I348</f>
        <v>6.08</v>
      </c>
      <c r="CY531">
        <f t="shared" si="69"/>
        <v>0</v>
      </c>
      <c r="CZ531">
        <f t="shared" si="70"/>
        <v>0</v>
      </c>
      <c r="DA531">
        <f t="shared" si="71"/>
        <v>6.13</v>
      </c>
      <c r="DB531">
        <v>0</v>
      </c>
    </row>
    <row r="532" spans="1:106" x14ac:dyDescent="0.2">
      <c r="A532">
        <f>ROW(Source!A348)</f>
        <v>348</v>
      </c>
      <c r="B532">
        <v>39476960</v>
      </c>
      <c r="C532">
        <v>39479008</v>
      </c>
      <c r="D532">
        <v>36847928</v>
      </c>
      <c r="E532">
        <v>1</v>
      </c>
      <c r="F532">
        <v>1</v>
      </c>
      <c r="G532">
        <v>1</v>
      </c>
      <c r="H532">
        <v>3</v>
      </c>
      <c r="I532" t="s">
        <v>690</v>
      </c>
      <c r="J532" t="s">
        <v>693</v>
      </c>
      <c r="K532" t="s">
        <v>691</v>
      </c>
      <c r="L532">
        <v>1033</v>
      </c>
      <c r="N532">
        <v>1013</v>
      </c>
      <c r="O532" t="s">
        <v>692</v>
      </c>
      <c r="P532" t="s">
        <v>692</v>
      </c>
      <c r="Q532">
        <v>1</v>
      </c>
      <c r="W532">
        <v>0</v>
      </c>
      <c r="X532">
        <v>1042667785</v>
      </c>
      <c r="Y532">
        <v>100</v>
      </c>
      <c r="AA532">
        <v>1961.6</v>
      </c>
      <c r="AB532">
        <v>0</v>
      </c>
      <c r="AC532">
        <v>0</v>
      </c>
      <c r="AD532">
        <v>0</v>
      </c>
      <c r="AE532">
        <v>320</v>
      </c>
      <c r="AF532">
        <v>0</v>
      </c>
      <c r="AG532">
        <v>0</v>
      </c>
      <c r="AH532">
        <v>0</v>
      </c>
      <c r="AI532">
        <v>6.13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3</v>
      </c>
      <c r="AT532">
        <v>100</v>
      </c>
      <c r="AU532" t="s">
        <v>3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3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Y532*Source!I348</f>
        <v>6.08</v>
      </c>
      <c r="CY532">
        <f t="shared" si="69"/>
        <v>1961.6</v>
      </c>
      <c r="CZ532">
        <f t="shared" si="70"/>
        <v>320</v>
      </c>
      <c r="DA532">
        <f t="shared" si="71"/>
        <v>6.13</v>
      </c>
      <c r="DB532">
        <v>0</v>
      </c>
    </row>
    <row r="533" spans="1:106" x14ac:dyDescent="0.2">
      <c r="A533">
        <f>ROW(Source!A351)</f>
        <v>351</v>
      </c>
      <c r="B533">
        <v>39476960</v>
      </c>
      <c r="C533">
        <v>39479043</v>
      </c>
      <c r="D533">
        <v>37082223</v>
      </c>
      <c r="E533">
        <v>1</v>
      </c>
      <c r="F533">
        <v>1</v>
      </c>
      <c r="G533">
        <v>1</v>
      </c>
      <c r="H533">
        <v>1</v>
      </c>
      <c r="I533" t="s">
        <v>1114</v>
      </c>
      <c r="J533" t="s">
        <v>3</v>
      </c>
      <c r="K533" t="s">
        <v>1115</v>
      </c>
      <c r="L533">
        <v>1191</v>
      </c>
      <c r="N533">
        <v>1013</v>
      </c>
      <c r="O533" t="s">
        <v>796</v>
      </c>
      <c r="P533" t="s">
        <v>796</v>
      </c>
      <c r="Q533">
        <v>1</v>
      </c>
      <c r="W533">
        <v>0</v>
      </c>
      <c r="X533">
        <v>-2143564933</v>
      </c>
      <c r="Y533">
        <v>142.13999999999999</v>
      </c>
      <c r="AA533">
        <v>0</v>
      </c>
      <c r="AB533">
        <v>0</v>
      </c>
      <c r="AC533">
        <v>0</v>
      </c>
      <c r="AD533">
        <v>59.83</v>
      </c>
      <c r="AE533">
        <v>0</v>
      </c>
      <c r="AF533">
        <v>0</v>
      </c>
      <c r="AG533">
        <v>0</v>
      </c>
      <c r="AH533">
        <v>9.76</v>
      </c>
      <c r="AI533">
        <v>1</v>
      </c>
      <c r="AJ533">
        <v>1</v>
      </c>
      <c r="AK533">
        <v>1</v>
      </c>
      <c r="AL533">
        <v>6.13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103</v>
      </c>
      <c r="AU533" t="s">
        <v>54</v>
      </c>
      <c r="AV533">
        <v>1</v>
      </c>
      <c r="AW533">
        <v>2</v>
      </c>
      <c r="AX533">
        <v>39479044</v>
      </c>
      <c r="AY533">
        <v>1</v>
      </c>
      <c r="AZ533">
        <v>0</v>
      </c>
      <c r="BA533">
        <v>494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Y533*Source!I351</f>
        <v>88.126799999999989</v>
      </c>
      <c r="CY533">
        <f>AD533</f>
        <v>59.83</v>
      </c>
      <c r="CZ533">
        <f>AH533</f>
        <v>9.76</v>
      </c>
      <c r="DA533">
        <f>AL533</f>
        <v>6.13</v>
      </c>
      <c r="DB533">
        <v>0</v>
      </c>
    </row>
    <row r="534" spans="1:106" x14ac:dyDescent="0.2">
      <c r="A534">
        <f>ROW(Source!A351)</f>
        <v>351</v>
      </c>
      <c r="B534">
        <v>39476960</v>
      </c>
      <c r="C534">
        <v>39479043</v>
      </c>
      <c r="D534">
        <v>37064876</v>
      </c>
      <c r="E534">
        <v>1</v>
      </c>
      <c r="F534">
        <v>1</v>
      </c>
      <c r="G534">
        <v>1</v>
      </c>
      <c r="H534">
        <v>1</v>
      </c>
      <c r="I534" t="s">
        <v>797</v>
      </c>
      <c r="J534" t="s">
        <v>3</v>
      </c>
      <c r="K534" t="s">
        <v>798</v>
      </c>
      <c r="L534">
        <v>1191</v>
      </c>
      <c r="N534">
        <v>1013</v>
      </c>
      <c r="O534" t="s">
        <v>796</v>
      </c>
      <c r="P534" t="s">
        <v>796</v>
      </c>
      <c r="Q534">
        <v>1</v>
      </c>
      <c r="W534">
        <v>0</v>
      </c>
      <c r="X534">
        <v>-1417349443</v>
      </c>
      <c r="Y534">
        <v>0.44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6.13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0.44</v>
      </c>
      <c r="AU534" t="s">
        <v>3</v>
      </c>
      <c r="AV534">
        <v>2</v>
      </c>
      <c r="AW534">
        <v>2</v>
      </c>
      <c r="AX534">
        <v>39479045</v>
      </c>
      <c r="AY534">
        <v>1</v>
      </c>
      <c r="AZ534">
        <v>2048</v>
      </c>
      <c r="BA534">
        <v>495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Y534*Source!I351</f>
        <v>0.27279999999999999</v>
      </c>
      <c r="CY534">
        <f>AD534</f>
        <v>0</v>
      </c>
      <c r="CZ534">
        <f>AH534</f>
        <v>0</v>
      </c>
      <c r="DA534">
        <f>AL534</f>
        <v>1</v>
      </c>
      <c r="DB534">
        <v>0</v>
      </c>
    </row>
    <row r="535" spans="1:106" x14ac:dyDescent="0.2">
      <c r="A535">
        <f>ROW(Source!A351)</f>
        <v>351</v>
      </c>
      <c r="B535">
        <v>39476960</v>
      </c>
      <c r="C535">
        <v>39479043</v>
      </c>
      <c r="D535">
        <v>36882057</v>
      </c>
      <c r="E535">
        <v>1</v>
      </c>
      <c r="F535">
        <v>1</v>
      </c>
      <c r="G535">
        <v>1</v>
      </c>
      <c r="H535">
        <v>2</v>
      </c>
      <c r="I535" t="s">
        <v>897</v>
      </c>
      <c r="J535" t="s">
        <v>898</v>
      </c>
      <c r="K535" t="s">
        <v>899</v>
      </c>
      <c r="L535">
        <v>1368</v>
      </c>
      <c r="N535">
        <v>1011</v>
      </c>
      <c r="O535" t="s">
        <v>802</v>
      </c>
      <c r="P535" t="s">
        <v>802</v>
      </c>
      <c r="Q535">
        <v>1</v>
      </c>
      <c r="W535">
        <v>0</v>
      </c>
      <c r="X535">
        <v>-1460065968</v>
      </c>
      <c r="Y535">
        <v>0.06</v>
      </c>
      <c r="AA535">
        <v>0</v>
      </c>
      <c r="AB535">
        <v>529.63</v>
      </c>
      <c r="AC535">
        <v>13.5</v>
      </c>
      <c r="AD535">
        <v>0</v>
      </c>
      <c r="AE535">
        <v>0</v>
      </c>
      <c r="AF535">
        <v>86.4</v>
      </c>
      <c r="AG535">
        <v>13.5</v>
      </c>
      <c r="AH535">
        <v>0</v>
      </c>
      <c r="AI535">
        <v>1</v>
      </c>
      <c r="AJ535">
        <v>6.13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0.04</v>
      </c>
      <c r="AU535" t="s">
        <v>53</v>
      </c>
      <c r="AV535">
        <v>0</v>
      </c>
      <c r="AW535">
        <v>2</v>
      </c>
      <c r="AX535">
        <v>39479046</v>
      </c>
      <c r="AY535">
        <v>1</v>
      </c>
      <c r="AZ535">
        <v>0</v>
      </c>
      <c r="BA535">
        <v>496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Y535*Source!I351</f>
        <v>3.7199999999999997E-2</v>
      </c>
      <c r="CY535">
        <f>AB535</f>
        <v>529.63</v>
      </c>
      <c r="CZ535">
        <f>AF535</f>
        <v>86.4</v>
      </c>
      <c r="DA535">
        <f>AJ535</f>
        <v>6.13</v>
      </c>
      <c r="DB535">
        <v>0</v>
      </c>
    </row>
    <row r="536" spans="1:106" x14ac:dyDescent="0.2">
      <c r="A536">
        <f>ROW(Source!A351)</f>
        <v>351</v>
      </c>
      <c r="B536">
        <v>39476960</v>
      </c>
      <c r="C536">
        <v>39479043</v>
      </c>
      <c r="D536">
        <v>36882159</v>
      </c>
      <c r="E536">
        <v>1</v>
      </c>
      <c r="F536">
        <v>1</v>
      </c>
      <c r="G536">
        <v>1</v>
      </c>
      <c r="H536">
        <v>2</v>
      </c>
      <c r="I536" t="s">
        <v>825</v>
      </c>
      <c r="J536" t="s">
        <v>826</v>
      </c>
      <c r="K536" t="s">
        <v>827</v>
      </c>
      <c r="L536">
        <v>1368</v>
      </c>
      <c r="N536">
        <v>1011</v>
      </c>
      <c r="O536" t="s">
        <v>802</v>
      </c>
      <c r="P536" t="s">
        <v>802</v>
      </c>
      <c r="Q536">
        <v>1</v>
      </c>
      <c r="W536">
        <v>0</v>
      </c>
      <c r="X536">
        <v>-1718674368</v>
      </c>
      <c r="Y536">
        <v>4.4999999999999998E-2</v>
      </c>
      <c r="AA536">
        <v>0</v>
      </c>
      <c r="AB536">
        <v>686.5</v>
      </c>
      <c r="AC536">
        <v>13.5</v>
      </c>
      <c r="AD536">
        <v>0</v>
      </c>
      <c r="AE536">
        <v>0</v>
      </c>
      <c r="AF536">
        <v>111.99</v>
      </c>
      <c r="AG536">
        <v>13.5</v>
      </c>
      <c r="AH536">
        <v>0</v>
      </c>
      <c r="AI536">
        <v>1</v>
      </c>
      <c r="AJ536">
        <v>6.13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0.03</v>
      </c>
      <c r="AU536" t="s">
        <v>53</v>
      </c>
      <c r="AV536">
        <v>0</v>
      </c>
      <c r="AW536">
        <v>2</v>
      </c>
      <c r="AX536">
        <v>39479047</v>
      </c>
      <c r="AY536">
        <v>1</v>
      </c>
      <c r="AZ536">
        <v>0</v>
      </c>
      <c r="BA536">
        <v>497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Y536*Source!I351</f>
        <v>2.7899999999999998E-2</v>
      </c>
      <c r="CY536">
        <f>AB536</f>
        <v>686.5</v>
      </c>
      <c r="CZ536">
        <f>AF536</f>
        <v>111.99</v>
      </c>
      <c r="DA536">
        <f>AJ536</f>
        <v>6.13</v>
      </c>
      <c r="DB536">
        <v>0</v>
      </c>
    </row>
    <row r="537" spans="1:106" x14ac:dyDescent="0.2">
      <c r="A537">
        <f>ROW(Source!A351)</f>
        <v>351</v>
      </c>
      <c r="B537">
        <v>39476960</v>
      </c>
      <c r="C537">
        <v>39479043</v>
      </c>
      <c r="D537">
        <v>36883554</v>
      </c>
      <c r="E537">
        <v>1</v>
      </c>
      <c r="F537">
        <v>1</v>
      </c>
      <c r="G537">
        <v>1</v>
      </c>
      <c r="H537">
        <v>2</v>
      </c>
      <c r="I537" t="s">
        <v>834</v>
      </c>
      <c r="J537" t="s">
        <v>835</v>
      </c>
      <c r="K537" t="s">
        <v>836</v>
      </c>
      <c r="L537">
        <v>1368</v>
      </c>
      <c r="N537">
        <v>1011</v>
      </c>
      <c r="O537" t="s">
        <v>802</v>
      </c>
      <c r="P537" t="s">
        <v>802</v>
      </c>
      <c r="Q537">
        <v>1</v>
      </c>
      <c r="W537">
        <v>0</v>
      </c>
      <c r="X537">
        <v>1372534845</v>
      </c>
      <c r="Y537">
        <v>0.55500000000000005</v>
      </c>
      <c r="AA537">
        <v>0</v>
      </c>
      <c r="AB537">
        <v>402.8</v>
      </c>
      <c r="AC537">
        <v>11.6</v>
      </c>
      <c r="AD537">
        <v>0</v>
      </c>
      <c r="AE537">
        <v>0</v>
      </c>
      <c r="AF537">
        <v>65.709999999999994</v>
      </c>
      <c r="AG537">
        <v>11.6</v>
      </c>
      <c r="AH537">
        <v>0</v>
      </c>
      <c r="AI537">
        <v>1</v>
      </c>
      <c r="AJ537">
        <v>6.13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0.37</v>
      </c>
      <c r="AU537" t="s">
        <v>53</v>
      </c>
      <c r="AV537">
        <v>0</v>
      </c>
      <c r="AW537">
        <v>2</v>
      </c>
      <c r="AX537">
        <v>39479048</v>
      </c>
      <c r="AY537">
        <v>1</v>
      </c>
      <c r="AZ537">
        <v>0</v>
      </c>
      <c r="BA537">
        <v>498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Y537*Source!I351</f>
        <v>0.34410000000000002</v>
      </c>
      <c r="CY537">
        <f>AB537</f>
        <v>402.8</v>
      </c>
      <c r="CZ537">
        <f>AF537</f>
        <v>65.709999999999994</v>
      </c>
      <c r="DA537">
        <f>AJ537</f>
        <v>6.13</v>
      </c>
      <c r="DB537">
        <v>0</v>
      </c>
    </row>
    <row r="538" spans="1:106" x14ac:dyDescent="0.2">
      <c r="A538">
        <f>ROW(Source!A351)</f>
        <v>351</v>
      </c>
      <c r="B538">
        <v>39476960</v>
      </c>
      <c r="C538">
        <v>39479043</v>
      </c>
      <c r="D538">
        <v>36801792</v>
      </c>
      <c r="E538">
        <v>1</v>
      </c>
      <c r="F538">
        <v>1</v>
      </c>
      <c r="G538">
        <v>1</v>
      </c>
      <c r="H538">
        <v>3</v>
      </c>
      <c r="I538" t="s">
        <v>954</v>
      </c>
      <c r="J538" t="s">
        <v>955</v>
      </c>
      <c r="K538" t="s">
        <v>956</v>
      </c>
      <c r="L538">
        <v>1339</v>
      </c>
      <c r="N538">
        <v>1007</v>
      </c>
      <c r="O538" t="s">
        <v>25</v>
      </c>
      <c r="P538" t="s">
        <v>25</v>
      </c>
      <c r="Q538">
        <v>1</v>
      </c>
      <c r="W538">
        <v>0</v>
      </c>
      <c r="X538">
        <v>-1660354250</v>
      </c>
      <c r="Y538">
        <v>0.47</v>
      </c>
      <c r="AA538">
        <v>14.96</v>
      </c>
      <c r="AB538">
        <v>0</v>
      </c>
      <c r="AC538">
        <v>0</v>
      </c>
      <c r="AD538">
        <v>0</v>
      </c>
      <c r="AE538">
        <v>2.44</v>
      </c>
      <c r="AF538">
        <v>0</v>
      </c>
      <c r="AG538">
        <v>0</v>
      </c>
      <c r="AH538">
        <v>0</v>
      </c>
      <c r="AI538">
        <v>6.13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0.47</v>
      </c>
      <c r="AU538" t="s">
        <v>3</v>
      </c>
      <c r="AV538">
        <v>0</v>
      </c>
      <c r="AW538">
        <v>2</v>
      </c>
      <c r="AX538">
        <v>39479049</v>
      </c>
      <c r="AY538">
        <v>1</v>
      </c>
      <c r="AZ538">
        <v>0</v>
      </c>
      <c r="BA538">
        <v>499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Y538*Source!I351</f>
        <v>0.29139999999999999</v>
      </c>
      <c r="CY538">
        <f>AA538</f>
        <v>14.96</v>
      </c>
      <c r="CZ538">
        <f>AE538</f>
        <v>2.44</v>
      </c>
      <c r="DA538">
        <f>AI538</f>
        <v>6.13</v>
      </c>
      <c r="DB538">
        <v>0</v>
      </c>
    </row>
    <row r="539" spans="1:106" x14ac:dyDescent="0.2">
      <c r="A539">
        <f>ROW(Source!A351)</f>
        <v>351</v>
      </c>
      <c r="B539">
        <v>39476960</v>
      </c>
      <c r="C539">
        <v>39479043</v>
      </c>
      <c r="D539">
        <v>36806524</v>
      </c>
      <c r="E539">
        <v>1</v>
      </c>
      <c r="F539">
        <v>1</v>
      </c>
      <c r="G539">
        <v>1</v>
      </c>
      <c r="H539">
        <v>3</v>
      </c>
      <c r="I539" t="s">
        <v>1185</v>
      </c>
      <c r="J539" t="s">
        <v>1186</v>
      </c>
      <c r="K539" t="s">
        <v>1187</v>
      </c>
      <c r="L539">
        <v>1346</v>
      </c>
      <c r="N539">
        <v>1009</v>
      </c>
      <c r="O539" t="s">
        <v>217</v>
      </c>
      <c r="P539" t="s">
        <v>217</v>
      </c>
      <c r="Q539">
        <v>1</v>
      </c>
      <c r="W539">
        <v>0</v>
      </c>
      <c r="X539">
        <v>450790165</v>
      </c>
      <c r="Y539">
        <v>1.6000000000000001E-3</v>
      </c>
      <c r="AA539">
        <v>13.18</v>
      </c>
      <c r="AB539">
        <v>0</v>
      </c>
      <c r="AC539">
        <v>0</v>
      </c>
      <c r="AD539">
        <v>0</v>
      </c>
      <c r="AE539">
        <v>2.15</v>
      </c>
      <c r="AF539">
        <v>0</v>
      </c>
      <c r="AG539">
        <v>0</v>
      </c>
      <c r="AH539">
        <v>0</v>
      </c>
      <c r="AI539">
        <v>6.13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1.6000000000000001E-3</v>
      </c>
      <c r="AU539" t="s">
        <v>3</v>
      </c>
      <c r="AV539">
        <v>0</v>
      </c>
      <c r="AW539">
        <v>2</v>
      </c>
      <c r="AX539">
        <v>39479050</v>
      </c>
      <c r="AY539">
        <v>1</v>
      </c>
      <c r="AZ539">
        <v>0</v>
      </c>
      <c r="BA539">
        <v>500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Y539*Source!I351</f>
        <v>9.9200000000000004E-4</v>
      </c>
      <c r="CY539">
        <f>AA539</f>
        <v>13.18</v>
      </c>
      <c r="CZ539">
        <f>AE539</f>
        <v>2.15</v>
      </c>
      <c r="DA539">
        <f>AI539</f>
        <v>6.13</v>
      </c>
      <c r="DB539">
        <v>0</v>
      </c>
    </row>
    <row r="540" spans="1:106" x14ac:dyDescent="0.2">
      <c r="A540">
        <f>ROW(Source!A351)</f>
        <v>351</v>
      </c>
      <c r="B540">
        <v>39476960</v>
      </c>
      <c r="C540">
        <v>39479043</v>
      </c>
      <c r="D540">
        <v>36867344</v>
      </c>
      <c r="E540">
        <v>1</v>
      </c>
      <c r="F540">
        <v>1</v>
      </c>
      <c r="G540">
        <v>1</v>
      </c>
      <c r="H540">
        <v>3</v>
      </c>
      <c r="I540" t="s">
        <v>702</v>
      </c>
      <c r="J540" t="s">
        <v>704</v>
      </c>
      <c r="K540" t="s">
        <v>703</v>
      </c>
      <c r="L540">
        <v>1358</v>
      </c>
      <c r="N540">
        <v>1010</v>
      </c>
      <c r="O540" t="s">
        <v>160</v>
      </c>
      <c r="P540" t="s">
        <v>160</v>
      </c>
      <c r="Q540">
        <v>10</v>
      </c>
      <c r="W540">
        <v>0</v>
      </c>
      <c r="X540">
        <v>-943418912</v>
      </c>
      <c r="Y540">
        <v>4.8387099999999998</v>
      </c>
      <c r="AA540">
        <v>804.26</v>
      </c>
      <c r="AB540">
        <v>0</v>
      </c>
      <c r="AC540">
        <v>0</v>
      </c>
      <c r="AD540">
        <v>0</v>
      </c>
      <c r="AE540">
        <v>131.19999999999999</v>
      </c>
      <c r="AF540">
        <v>0</v>
      </c>
      <c r="AG540">
        <v>0</v>
      </c>
      <c r="AH540">
        <v>0</v>
      </c>
      <c r="AI540">
        <v>6.13</v>
      </c>
      <c r="AJ540">
        <v>1</v>
      </c>
      <c r="AK540">
        <v>1</v>
      </c>
      <c r="AL540">
        <v>1</v>
      </c>
      <c r="AN540">
        <v>0</v>
      </c>
      <c r="AO540">
        <v>0</v>
      </c>
      <c r="AP540">
        <v>0</v>
      </c>
      <c r="AQ540">
        <v>0</v>
      </c>
      <c r="AR540">
        <v>0</v>
      </c>
      <c r="AS540" t="s">
        <v>3</v>
      </c>
      <c r="AT540">
        <v>4.8387099999999998</v>
      </c>
      <c r="AU540" t="s">
        <v>3</v>
      </c>
      <c r="AV540">
        <v>0</v>
      </c>
      <c r="AW540">
        <v>1</v>
      </c>
      <c r="AX540">
        <v>-1</v>
      </c>
      <c r="AY540">
        <v>0</v>
      </c>
      <c r="AZ540">
        <v>0</v>
      </c>
      <c r="BA540" t="s">
        <v>3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Y540*Source!I351</f>
        <v>3.0000001999999997</v>
      </c>
      <c r="CY540">
        <f>AA540</f>
        <v>804.26</v>
      </c>
      <c r="CZ540">
        <f>AE540</f>
        <v>131.19999999999999</v>
      </c>
      <c r="DA540">
        <f>AI540</f>
        <v>6.13</v>
      </c>
      <c r="DB540">
        <v>0</v>
      </c>
    </row>
    <row r="541" spans="1:106" x14ac:dyDescent="0.2">
      <c r="A541">
        <f>ROW(Source!A351)</f>
        <v>351</v>
      </c>
      <c r="B541">
        <v>39476960</v>
      </c>
      <c r="C541">
        <v>39479043</v>
      </c>
      <c r="D541">
        <v>36797648</v>
      </c>
      <c r="E541">
        <v>17</v>
      </c>
      <c r="F541">
        <v>1</v>
      </c>
      <c r="G541">
        <v>1</v>
      </c>
      <c r="H541">
        <v>3</v>
      </c>
      <c r="I541" t="s">
        <v>708</v>
      </c>
      <c r="J541" t="s">
        <v>3</v>
      </c>
      <c r="K541" t="s">
        <v>709</v>
      </c>
      <c r="L541">
        <v>1301</v>
      </c>
      <c r="N541">
        <v>1003</v>
      </c>
      <c r="O541" t="s">
        <v>74</v>
      </c>
      <c r="P541" t="s">
        <v>74</v>
      </c>
      <c r="Q541">
        <v>1</v>
      </c>
      <c r="W541">
        <v>0</v>
      </c>
      <c r="X541">
        <v>1859451840</v>
      </c>
      <c r="Y541">
        <v>100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6.13</v>
      </c>
      <c r="AJ541">
        <v>1</v>
      </c>
      <c r="AK541">
        <v>1</v>
      </c>
      <c r="AL541">
        <v>1</v>
      </c>
      <c r="AN541">
        <v>0</v>
      </c>
      <c r="AO541">
        <v>0</v>
      </c>
      <c r="AP541">
        <v>0</v>
      </c>
      <c r="AQ541">
        <v>0</v>
      </c>
      <c r="AR541">
        <v>0</v>
      </c>
      <c r="AS541" t="s">
        <v>3</v>
      </c>
      <c r="AT541">
        <v>100</v>
      </c>
      <c r="AU541" t="s">
        <v>3</v>
      </c>
      <c r="AV541">
        <v>0</v>
      </c>
      <c r="AW541">
        <v>2</v>
      </c>
      <c r="AX541">
        <v>39479054</v>
      </c>
      <c r="AY541">
        <v>1</v>
      </c>
      <c r="AZ541">
        <v>6144</v>
      </c>
      <c r="BA541">
        <v>504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Y541*Source!I351</f>
        <v>62</v>
      </c>
      <c r="CY541">
        <f>AA541</f>
        <v>0</v>
      </c>
      <c r="CZ541">
        <f>AE541</f>
        <v>0</v>
      </c>
      <c r="DA541">
        <f>AI541</f>
        <v>6.13</v>
      </c>
      <c r="DB541">
        <v>0</v>
      </c>
    </row>
    <row r="542" spans="1:106" x14ac:dyDescent="0.2">
      <c r="A542">
        <f>ROW(Source!A351)</f>
        <v>351</v>
      </c>
      <c r="B542">
        <v>39476960</v>
      </c>
      <c r="C542">
        <v>39479043</v>
      </c>
      <c r="D542">
        <v>36867966</v>
      </c>
      <c r="E542">
        <v>1</v>
      </c>
      <c r="F542">
        <v>1</v>
      </c>
      <c r="G542">
        <v>1</v>
      </c>
      <c r="H542">
        <v>3</v>
      </c>
      <c r="I542" t="s">
        <v>534</v>
      </c>
      <c r="J542" t="s">
        <v>536</v>
      </c>
      <c r="K542" t="s">
        <v>706</v>
      </c>
      <c r="L542">
        <v>1301</v>
      </c>
      <c r="N542">
        <v>1003</v>
      </c>
      <c r="O542" t="s">
        <v>74</v>
      </c>
      <c r="P542" t="s">
        <v>74</v>
      </c>
      <c r="Q542">
        <v>1</v>
      </c>
      <c r="W542">
        <v>0</v>
      </c>
      <c r="X542">
        <v>-248636711</v>
      </c>
      <c r="Y542">
        <v>100</v>
      </c>
      <c r="AA542">
        <v>28.2</v>
      </c>
      <c r="AB542">
        <v>0</v>
      </c>
      <c r="AC542">
        <v>0</v>
      </c>
      <c r="AD542">
        <v>0</v>
      </c>
      <c r="AE542">
        <v>4.5999999999999996</v>
      </c>
      <c r="AF542">
        <v>0</v>
      </c>
      <c r="AG542">
        <v>0</v>
      </c>
      <c r="AH542">
        <v>0</v>
      </c>
      <c r="AI542">
        <v>6.13</v>
      </c>
      <c r="AJ542">
        <v>1</v>
      </c>
      <c r="AK542">
        <v>1</v>
      </c>
      <c r="AL542">
        <v>1</v>
      </c>
      <c r="AN542">
        <v>0</v>
      </c>
      <c r="AO542">
        <v>0</v>
      </c>
      <c r="AP542">
        <v>0</v>
      </c>
      <c r="AQ542">
        <v>0</v>
      </c>
      <c r="AR542">
        <v>0</v>
      </c>
      <c r="AS542" t="s">
        <v>3</v>
      </c>
      <c r="AT542">
        <v>100</v>
      </c>
      <c r="AU542" t="s">
        <v>3</v>
      </c>
      <c r="AV542">
        <v>0</v>
      </c>
      <c r="AW542">
        <v>1</v>
      </c>
      <c r="AX542">
        <v>-1</v>
      </c>
      <c r="AY542">
        <v>0</v>
      </c>
      <c r="AZ542">
        <v>0</v>
      </c>
      <c r="BA542" t="s">
        <v>3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Y542*Source!I351</f>
        <v>62</v>
      </c>
      <c r="CY542">
        <f>AA542</f>
        <v>28.2</v>
      </c>
      <c r="CZ542">
        <f>AE542</f>
        <v>4.5999999999999996</v>
      </c>
      <c r="DA542">
        <f>AI542</f>
        <v>6.13</v>
      </c>
      <c r="DB54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0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39477384</v>
      </c>
      <c r="C1">
        <v>39477383</v>
      </c>
      <c r="D1">
        <v>37065946</v>
      </c>
      <c r="E1">
        <v>1</v>
      </c>
      <c r="F1">
        <v>1</v>
      </c>
      <c r="G1">
        <v>1</v>
      </c>
      <c r="H1">
        <v>1</v>
      </c>
      <c r="I1" t="s">
        <v>794</v>
      </c>
      <c r="J1" t="s">
        <v>3</v>
      </c>
      <c r="K1" t="s">
        <v>795</v>
      </c>
      <c r="L1">
        <v>1191</v>
      </c>
      <c r="N1">
        <v>1013</v>
      </c>
      <c r="O1" t="s">
        <v>796</v>
      </c>
      <c r="P1" t="s">
        <v>796</v>
      </c>
      <c r="Q1">
        <v>1</v>
      </c>
      <c r="X1">
        <v>74.3</v>
      </c>
      <c r="Y1">
        <v>0</v>
      </c>
      <c r="Z1">
        <v>0</v>
      </c>
      <c r="AA1">
        <v>0</v>
      </c>
      <c r="AB1">
        <v>7.87</v>
      </c>
      <c r="AC1">
        <v>0</v>
      </c>
      <c r="AD1">
        <v>1</v>
      </c>
      <c r="AE1">
        <v>1</v>
      </c>
      <c r="AF1" t="s">
        <v>3</v>
      </c>
      <c r="AG1">
        <v>74.3</v>
      </c>
      <c r="AH1">
        <v>2</v>
      </c>
      <c r="AI1">
        <v>39477384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39477385</v>
      </c>
      <c r="C2">
        <v>39477383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797</v>
      </c>
      <c r="J2" t="s">
        <v>3</v>
      </c>
      <c r="K2" t="s">
        <v>798</v>
      </c>
      <c r="L2">
        <v>1191</v>
      </c>
      <c r="N2">
        <v>1013</v>
      </c>
      <c r="O2" t="s">
        <v>796</v>
      </c>
      <c r="P2" t="s">
        <v>796</v>
      </c>
      <c r="Q2">
        <v>1</v>
      </c>
      <c r="X2">
        <v>0.35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0.35</v>
      </c>
      <c r="AH2">
        <v>2</v>
      </c>
      <c r="AI2">
        <v>39477385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39477386</v>
      </c>
      <c r="C3">
        <v>39477383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799</v>
      </c>
      <c r="J3" t="s">
        <v>800</v>
      </c>
      <c r="K3" t="s">
        <v>801</v>
      </c>
      <c r="L3">
        <v>1368</v>
      </c>
      <c r="N3">
        <v>1011</v>
      </c>
      <c r="O3" t="s">
        <v>802</v>
      </c>
      <c r="P3" t="s">
        <v>802</v>
      </c>
      <c r="Q3">
        <v>1</v>
      </c>
      <c r="X3">
        <v>0.35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0.35</v>
      </c>
      <c r="AH3">
        <v>2</v>
      </c>
      <c r="AI3">
        <v>39477386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39477387</v>
      </c>
      <c r="C4">
        <v>39477383</v>
      </c>
      <c r="D4">
        <v>36883883</v>
      </c>
      <c r="E4">
        <v>1</v>
      </c>
      <c r="F4">
        <v>1</v>
      </c>
      <c r="G4">
        <v>1</v>
      </c>
      <c r="H4">
        <v>2</v>
      </c>
      <c r="I4" t="s">
        <v>803</v>
      </c>
      <c r="J4" t="s">
        <v>804</v>
      </c>
      <c r="K4" t="s">
        <v>805</v>
      </c>
      <c r="L4">
        <v>1368</v>
      </c>
      <c r="N4">
        <v>1011</v>
      </c>
      <c r="O4" t="s">
        <v>802</v>
      </c>
      <c r="P4" t="s">
        <v>802</v>
      </c>
      <c r="Q4">
        <v>1</v>
      </c>
      <c r="X4">
        <v>1.64</v>
      </c>
      <c r="Y4">
        <v>0</v>
      </c>
      <c r="Z4">
        <v>32.5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1.64</v>
      </c>
      <c r="AH4">
        <v>2</v>
      </c>
      <c r="AI4">
        <v>39477387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39477388</v>
      </c>
      <c r="C5">
        <v>39477383</v>
      </c>
      <c r="D5">
        <v>36884481</v>
      </c>
      <c r="E5">
        <v>1</v>
      </c>
      <c r="F5">
        <v>1</v>
      </c>
      <c r="G5">
        <v>1</v>
      </c>
      <c r="H5">
        <v>2</v>
      </c>
      <c r="I5" t="s">
        <v>806</v>
      </c>
      <c r="J5" t="s">
        <v>807</v>
      </c>
      <c r="K5" t="s">
        <v>808</v>
      </c>
      <c r="L5">
        <v>1368</v>
      </c>
      <c r="N5">
        <v>1011</v>
      </c>
      <c r="O5" t="s">
        <v>802</v>
      </c>
      <c r="P5" t="s">
        <v>802</v>
      </c>
      <c r="Q5">
        <v>1</v>
      </c>
      <c r="X5">
        <v>3.28</v>
      </c>
      <c r="Y5">
        <v>0</v>
      </c>
      <c r="Z5">
        <v>1.53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3.28</v>
      </c>
      <c r="AH5">
        <v>2</v>
      </c>
      <c r="AI5">
        <v>39477388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39477390</v>
      </c>
      <c r="C6">
        <v>39477389</v>
      </c>
      <c r="D6">
        <v>37064978</v>
      </c>
      <c r="E6">
        <v>1</v>
      </c>
      <c r="F6">
        <v>1</v>
      </c>
      <c r="G6">
        <v>1</v>
      </c>
      <c r="H6">
        <v>1</v>
      </c>
      <c r="I6" t="s">
        <v>809</v>
      </c>
      <c r="J6" t="s">
        <v>3</v>
      </c>
      <c r="K6" t="s">
        <v>810</v>
      </c>
      <c r="L6">
        <v>1191</v>
      </c>
      <c r="N6">
        <v>1013</v>
      </c>
      <c r="O6" t="s">
        <v>796</v>
      </c>
      <c r="P6" t="s">
        <v>796</v>
      </c>
      <c r="Q6">
        <v>1</v>
      </c>
      <c r="X6">
        <v>11.43</v>
      </c>
      <c r="Y6">
        <v>0</v>
      </c>
      <c r="Z6">
        <v>0</v>
      </c>
      <c r="AA6">
        <v>0</v>
      </c>
      <c r="AB6">
        <v>8.86</v>
      </c>
      <c r="AC6">
        <v>0</v>
      </c>
      <c r="AD6">
        <v>1</v>
      </c>
      <c r="AE6">
        <v>1</v>
      </c>
      <c r="AF6" t="s">
        <v>3</v>
      </c>
      <c r="AG6">
        <v>11.43</v>
      </c>
      <c r="AH6">
        <v>2</v>
      </c>
      <c r="AI6">
        <v>39477390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39477391</v>
      </c>
      <c r="C7">
        <v>39477389</v>
      </c>
      <c r="D7">
        <v>36883789</v>
      </c>
      <c r="E7">
        <v>1</v>
      </c>
      <c r="F7">
        <v>1</v>
      </c>
      <c r="G7">
        <v>1</v>
      </c>
      <c r="H7">
        <v>2</v>
      </c>
      <c r="I7" t="s">
        <v>811</v>
      </c>
      <c r="J7" t="s">
        <v>812</v>
      </c>
      <c r="K7" t="s">
        <v>813</v>
      </c>
      <c r="L7">
        <v>1368</v>
      </c>
      <c r="N7">
        <v>1011</v>
      </c>
      <c r="O7" t="s">
        <v>802</v>
      </c>
      <c r="P7" t="s">
        <v>802</v>
      </c>
      <c r="Q7">
        <v>1</v>
      </c>
      <c r="X7">
        <v>2.4</v>
      </c>
      <c r="Y7">
        <v>0</v>
      </c>
      <c r="Z7">
        <v>1.2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2.4</v>
      </c>
      <c r="AH7">
        <v>2</v>
      </c>
      <c r="AI7">
        <v>39477391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39477392</v>
      </c>
      <c r="C8">
        <v>39477389</v>
      </c>
      <c r="D8">
        <v>36883883</v>
      </c>
      <c r="E8">
        <v>1</v>
      </c>
      <c r="F8">
        <v>1</v>
      </c>
      <c r="G8">
        <v>1</v>
      </c>
      <c r="H8">
        <v>2</v>
      </c>
      <c r="I8" t="s">
        <v>803</v>
      </c>
      <c r="J8" t="s">
        <v>804</v>
      </c>
      <c r="K8" t="s">
        <v>805</v>
      </c>
      <c r="L8">
        <v>1368</v>
      </c>
      <c r="N8">
        <v>1011</v>
      </c>
      <c r="O8" t="s">
        <v>802</v>
      </c>
      <c r="P8" t="s">
        <v>802</v>
      </c>
      <c r="Q8">
        <v>1</v>
      </c>
      <c r="X8">
        <v>3.32</v>
      </c>
      <c r="Y8">
        <v>0</v>
      </c>
      <c r="Z8">
        <v>32.5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3.32</v>
      </c>
      <c r="AH8">
        <v>2</v>
      </c>
      <c r="AI8">
        <v>39477392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39477393</v>
      </c>
      <c r="C9">
        <v>39477389</v>
      </c>
      <c r="D9">
        <v>36884481</v>
      </c>
      <c r="E9">
        <v>1</v>
      </c>
      <c r="F9">
        <v>1</v>
      </c>
      <c r="G9">
        <v>1</v>
      </c>
      <c r="H9">
        <v>2</v>
      </c>
      <c r="I9" t="s">
        <v>806</v>
      </c>
      <c r="J9" t="s">
        <v>807</v>
      </c>
      <c r="K9" t="s">
        <v>808</v>
      </c>
      <c r="L9">
        <v>1368</v>
      </c>
      <c r="N9">
        <v>1011</v>
      </c>
      <c r="O9" t="s">
        <v>802</v>
      </c>
      <c r="P9" t="s">
        <v>802</v>
      </c>
      <c r="Q9">
        <v>1</v>
      </c>
      <c r="X9">
        <v>6.14</v>
      </c>
      <c r="Y9">
        <v>0</v>
      </c>
      <c r="Z9">
        <v>1.53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6.14</v>
      </c>
      <c r="AH9">
        <v>2</v>
      </c>
      <c r="AI9">
        <v>39477393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39477394</v>
      </c>
      <c r="C10">
        <v>39477389</v>
      </c>
      <c r="D10">
        <v>36800140</v>
      </c>
      <c r="E10">
        <v>1</v>
      </c>
      <c r="F10">
        <v>1</v>
      </c>
      <c r="G10">
        <v>1</v>
      </c>
      <c r="H10">
        <v>3</v>
      </c>
      <c r="I10" t="s">
        <v>814</v>
      </c>
      <c r="J10" t="s">
        <v>815</v>
      </c>
      <c r="K10" t="s">
        <v>816</v>
      </c>
      <c r="L10">
        <v>1339</v>
      </c>
      <c r="N10">
        <v>1007</v>
      </c>
      <c r="O10" t="s">
        <v>25</v>
      </c>
      <c r="P10" t="s">
        <v>25</v>
      </c>
      <c r="Q10">
        <v>1</v>
      </c>
      <c r="X10">
        <v>0.26</v>
      </c>
      <c r="Y10">
        <v>38.51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0.26</v>
      </c>
      <c r="AH10">
        <v>2</v>
      </c>
      <c r="AI10">
        <v>39477394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39477395</v>
      </c>
      <c r="C11">
        <v>39477389</v>
      </c>
      <c r="D11">
        <v>36800159</v>
      </c>
      <c r="E11">
        <v>1</v>
      </c>
      <c r="F11">
        <v>1</v>
      </c>
      <c r="G11">
        <v>1</v>
      </c>
      <c r="H11">
        <v>3</v>
      </c>
      <c r="I11" t="s">
        <v>817</v>
      </c>
      <c r="J11" t="s">
        <v>818</v>
      </c>
      <c r="K11" t="s">
        <v>819</v>
      </c>
      <c r="L11">
        <v>1339</v>
      </c>
      <c r="N11">
        <v>1007</v>
      </c>
      <c r="O11" t="s">
        <v>25</v>
      </c>
      <c r="P11" t="s">
        <v>25</v>
      </c>
      <c r="Q11">
        <v>1</v>
      </c>
      <c r="X11">
        <v>2</v>
      </c>
      <c r="Y11">
        <v>6.22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2</v>
      </c>
      <c r="AH11">
        <v>2</v>
      </c>
      <c r="AI11">
        <v>39477395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39477397</v>
      </c>
      <c r="C12">
        <v>39477396</v>
      </c>
      <c r="D12">
        <v>37064878</v>
      </c>
      <c r="E12">
        <v>1</v>
      </c>
      <c r="F12">
        <v>1</v>
      </c>
      <c r="G12">
        <v>1</v>
      </c>
      <c r="H12">
        <v>1</v>
      </c>
      <c r="I12" t="s">
        <v>820</v>
      </c>
      <c r="J12" t="s">
        <v>3</v>
      </c>
      <c r="K12" t="s">
        <v>821</v>
      </c>
      <c r="L12">
        <v>1191</v>
      </c>
      <c r="N12">
        <v>1013</v>
      </c>
      <c r="O12" t="s">
        <v>796</v>
      </c>
      <c r="P12" t="s">
        <v>796</v>
      </c>
      <c r="Q12">
        <v>1</v>
      </c>
      <c r="X12">
        <v>32.369999999999997</v>
      </c>
      <c r="Y12">
        <v>0</v>
      </c>
      <c r="Z12">
        <v>0</v>
      </c>
      <c r="AA12">
        <v>0</v>
      </c>
      <c r="AB12">
        <v>9.4</v>
      </c>
      <c r="AC12">
        <v>0</v>
      </c>
      <c r="AD12">
        <v>1</v>
      </c>
      <c r="AE12">
        <v>1</v>
      </c>
      <c r="AF12" t="s">
        <v>37</v>
      </c>
      <c r="AG12">
        <v>27.190799999999992</v>
      </c>
      <c r="AH12">
        <v>2</v>
      </c>
      <c r="AI12">
        <v>39477397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39477398</v>
      </c>
      <c r="C13">
        <v>39477396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797</v>
      </c>
      <c r="J13" t="s">
        <v>3</v>
      </c>
      <c r="K13" t="s">
        <v>798</v>
      </c>
      <c r="L13">
        <v>1191</v>
      </c>
      <c r="N13">
        <v>1013</v>
      </c>
      <c r="O13" t="s">
        <v>796</v>
      </c>
      <c r="P13" t="s">
        <v>796</v>
      </c>
      <c r="Q13">
        <v>1</v>
      </c>
      <c r="X13">
        <v>5.83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37</v>
      </c>
      <c r="AG13">
        <v>4.8971999999999989</v>
      </c>
      <c r="AH13">
        <v>2</v>
      </c>
      <c r="AI13">
        <v>39477398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39477399</v>
      </c>
      <c r="C14">
        <v>39477396</v>
      </c>
      <c r="D14">
        <v>36882079</v>
      </c>
      <c r="E14">
        <v>1</v>
      </c>
      <c r="F14">
        <v>1</v>
      </c>
      <c r="G14">
        <v>1</v>
      </c>
      <c r="H14">
        <v>2</v>
      </c>
      <c r="I14" t="s">
        <v>822</v>
      </c>
      <c r="J14" t="s">
        <v>823</v>
      </c>
      <c r="K14" t="s">
        <v>824</v>
      </c>
      <c r="L14">
        <v>1368</v>
      </c>
      <c r="N14">
        <v>1011</v>
      </c>
      <c r="O14" t="s">
        <v>802</v>
      </c>
      <c r="P14" t="s">
        <v>802</v>
      </c>
      <c r="Q14">
        <v>1</v>
      </c>
      <c r="X14">
        <v>7.0000000000000007E-2</v>
      </c>
      <c r="Y14">
        <v>0</v>
      </c>
      <c r="Z14">
        <v>120.24</v>
      </c>
      <c r="AA14">
        <v>15.42</v>
      </c>
      <c r="AB14">
        <v>0</v>
      </c>
      <c r="AC14">
        <v>0</v>
      </c>
      <c r="AD14">
        <v>1</v>
      </c>
      <c r="AE14">
        <v>0</v>
      </c>
      <c r="AF14" t="s">
        <v>37</v>
      </c>
      <c r="AG14">
        <v>5.8799999999999998E-2</v>
      </c>
      <c r="AH14">
        <v>2</v>
      </c>
      <c r="AI14">
        <v>39477399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39477400</v>
      </c>
      <c r="C15">
        <v>39477396</v>
      </c>
      <c r="D15">
        <v>36882159</v>
      </c>
      <c r="E15">
        <v>1</v>
      </c>
      <c r="F15">
        <v>1</v>
      </c>
      <c r="G15">
        <v>1</v>
      </c>
      <c r="H15">
        <v>2</v>
      </c>
      <c r="I15" t="s">
        <v>825</v>
      </c>
      <c r="J15" t="s">
        <v>826</v>
      </c>
      <c r="K15" t="s">
        <v>827</v>
      </c>
      <c r="L15">
        <v>1368</v>
      </c>
      <c r="N15">
        <v>1011</v>
      </c>
      <c r="O15" t="s">
        <v>802</v>
      </c>
      <c r="P15" t="s">
        <v>802</v>
      </c>
      <c r="Q15">
        <v>1</v>
      </c>
      <c r="X15">
        <v>0.12</v>
      </c>
      <c r="Y15">
        <v>0</v>
      </c>
      <c r="Z15">
        <v>111.99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37</v>
      </c>
      <c r="AG15">
        <v>0.10079999999999999</v>
      </c>
      <c r="AH15">
        <v>2</v>
      </c>
      <c r="AI15">
        <v>39477400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ROW(Source!A30)</f>
        <v>30</v>
      </c>
      <c r="B16">
        <v>39477401</v>
      </c>
      <c r="C16">
        <v>39477396</v>
      </c>
      <c r="D16">
        <v>36882180</v>
      </c>
      <c r="E16">
        <v>1</v>
      </c>
      <c r="F16">
        <v>1</v>
      </c>
      <c r="G16">
        <v>1</v>
      </c>
      <c r="H16">
        <v>2</v>
      </c>
      <c r="I16" t="s">
        <v>828</v>
      </c>
      <c r="J16" t="s">
        <v>829</v>
      </c>
      <c r="K16" t="s">
        <v>830</v>
      </c>
      <c r="L16">
        <v>1368</v>
      </c>
      <c r="N16">
        <v>1011</v>
      </c>
      <c r="O16" t="s">
        <v>802</v>
      </c>
      <c r="P16" t="s">
        <v>802</v>
      </c>
      <c r="Q16">
        <v>1</v>
      </c>
      <c r="X16">
        <v>5.45</v>
      </c>
      <c r="Y16">
        <v>0</v>
      </c>
      <c r="Z16">
        <v>96.89</v>
      </c>
      <c r="AA16">
        <v>13.5</v>
      </c>
      <c r="AB16">
        <v>0</v>
      </c>
      <c r="AC16">
        <v>0</v>
      </c>
      <c r="AD16">
        <v>1</v>
      </c>
      <c r="AE16">
        <v>0</v>
      </c>
      <c r="AF16" t="s">
        <v>37</v>
      </c>
      <c r="AG16">
        <v>4.5779999999999994</v>
      </c>
      <c r="AH16">
        <v>2</v>
      </c>
      <c r="AI16">
        <v>39477401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ROW(Source!A30)</f>
        <v>30</v>
      </c>
      <c r="B17">
        <v>39477402</v>
      </c>
      <c r="C17">
        <v>39477396</v>
      </c>
      <c r="D17">
        <v>36882292</v>
      </c>
      <c r="E17">
        <v>1</v>
      </c>
      <c r="F17">
        <v>1</v>
      </c>
      <c r="G17">
        <v>1</v>
      </c>
      <c r="H17">
        <v>2</v>
      </c>
      <c r="I17" t="s">
        <v>831</v>
      </c>
      <c r="J17" t="s">
        <v>832</v>
      </c>
      <c r="K17" t="s">
        <v>833</v>
      </c>
      <c r="L17">
        <v>1368</v>
      </c>
      <c r="N17">
        <v>1011</v>
      </c>
      <c r="O17" t="s">
        <v>802</v>
      </c>
      <c r="P17" t="s">
        <v>802</v>
      </c>
      <c r="Q17">
        <v>1</v>
      </c>
      <c r="X17">
        <v>0.96</v>
      </c>
      <c r="Y17">
        <v>0</v>
      </c>
      <c r="Z17">
        <v>0.9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37</v>
      </c>
      <c r="AG17">
        <v>0.80639999999999989</v>
      </c>
      <c r="AH17">
        <v>2</v>
      </c>
      <c r="AI17">
        <v>39477402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ROW(Source!A30)</f>
        <v>30</v>
      </c>
      <c r="B18">
        <v>39477403</v>
      </c>
      <c r="C18">
        <v>39477396</v>
      </c>
      <c r="D18">
        <v>36883554</v>
      </c>
      <c r="E18">
        <v>1</v>
      </c>
      <c r="F18">
        <v>1</v>
      </c>
      <c r="G18">
        <v>1</v>
      </c>
      <c r="H18">
        <v>2</v>
      </c>
      <c r="I18" t="s">
        <v>834</v>
      </c>
      <c r="J18" t="s">
        <v>835</v>
      </c>
      <c r="K18" t="s">
        <v>836</v>
      </c>
      <c r="L18">
        <v>1368</v>
      </c>
      <c r="N18">
        <v>1011</v>
      </c>
      <c r="O18" t="s">
        <v>802</v>
      </c>
      <c r="P18" t="s">
        <v>802</v>
      </c>
      <c r="Q18">
        <v>1</v>
      </c>
      <c r="X18">
        <v>0.19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37</v>
      </c>
      <c r="AG18">
        <v>0.15959999999999996</v>
      </c>
      <c r="AH18">
        <v>2</v>
      </c>
      <c r="AI18">
        <v>39477403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ROW(Source!A30)</f>
        <v>30</v>
      </c>
      <c r="B19">
        <v>39477404</v>
      </c>
      <c r="C19">
        <v>39477396</v>
      </c>
      <c r="D19">
        <v>36883789</v>
      </c>
      <c r="E19">
        <v>1</v>
      </c>
      <c r="F19">
        <v>1</v>
      </c>
      <c r="G19">
        <v>1</v>
      </c>
      <c r="H19">
        <v>2</v>
      </c>
      <c r="I19" t="s">
        <v>811</v>
      </c>
      <c r="J19" t="s">
        <v>812</v>
      </c>
      <c r="K19" t="s">
        <v>813</v>
      </c>
      <c r="L19">
        <v>1368</v>
      </c>
      <c r="N19">
        <v>1011</v>
      </c>
      <c r="O19" t="s">
        <v>802</v>
      </c>
      <c r="P19" t="s">
        <v>802</v>
      </c>
      <c r="Q19">
        <v>1</v>
      </c>
      <c r="X19">
        <v>1.68</v>
      </c>
      <c r="Y19">
        <v>0</v>
      </c>
      <c r="Z19">
        <v>1.2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37</v>
      </c>
      <c r="AG19">
        <v>1.4111999999999998</v>
      </c>
      <c r="AH19">
        <v>2</v>
      </c>
      <c r="AI19">
        <v>39477404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ROW(Source!A30)</f>
        <v>30</v>
      </c>
      <c r="B20">
        <v>39477405</v>
      </c>
      <c r="C20">
        <v>39477396</v>
      </c>
      <c r="D20">
        <v>36883836</v>
      </c>
      <c r="E20">
        <v>1</v>
      </c>
      <c r="F20">
        <v>1</v>
      </c>
      <c r="G20">
        <v>1</v>
      </c>
      <c r="H20">
        <v>2</v>
      </c>
      <c r="I20" t="s">
        <v>837</v>
      </c>
      <c r="J20" t="s">
        <v>838</v>
      </c>
      <c r="K20" t="s">
        <v>839</v>
      </c>
      <c r="L20">
        <v>1368</v>
      </c>
      <c r="N20">
        <v>1011</v>
      </c>
      <c r="O20" t="s">
        <v>802</v>
      </c>
      <c r="P20" t="s">
        <v>802</v>
      </c>
      <c r="Q20">
        <v>1</v>
      </c>
      <c r="X20">
        <v>9.6199999999999992</v>
      </c>
      <c r="Y20">
        <v>0</v>
      </c>
      <c r="Z20">
        <v>12.31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37</v>
      </c>
      <c r="AG20">
        <v>8.0807999999999982</v>
      </c>
      <c r="AH20">
        <v>2</v>
      </c>
      <c r="AI20">
        <v>39477405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ROW(Source!A30)</f>
        <v>30</v>
      </c>
      <c r="B21">
        <v>39477406</v>
      </c>
      <c r="C21">
        <v>39477396</v>
      </c>
      <c r="D21">
        <v>36800159</v>
      </c>
      <c r="E21">
        <v>1</v>
      </c>
      <c r="F21">
        <v>1</v>
      </c>
      <c r="G21">
        <v>1</v>
      </c>
      <c r="H21">
        <v>3</v>
      </c>
      <c r="I21" t="s">
        <v>817</v>
      </c>
      <c r="J21" t="s">
        <v>818</v>
      </c>
      <c r="K21" t="s">
        <v>819</v>
      </c>
      <c r="L21">
        <v>1339</v>
      </c>
      <c r="N21">
        <v>1007</v>
      </c>
      <c r="O21" t="s">
        <v>25</v>
      </c>
      <c r="P21" t="s">
        <v>25</v>
      </c>
      <c r="Q21">
        <v>1</v>
      </c>
      <c r="X21">
        <v>1.37</v>
      </c>
      <c r="Y21">
        <v>6.22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36</v>
      </c>
      <c r="AG21">
        <v>0</v>
      </c>
      <c r="AH21">
        <v>2</v>
      </c>
      <c r="AI21">
        <v>39477406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39477407</v>
      </c>
      <c r="C22">
        <v>39477396</v>
      </c>
      <c r="D22">
        <v>36800166</v>
      </c>
      <c r="E22">
        <v>1</v>
      </c>
      <c r="F22">
        <v>1</v>
      </c>
      <c r="G22">
        <v>1</v>
      </c>
      <c r="H22">
        <v>3</v>
      </c>
      <c r="I22" t="s">
        <v>840</v>
      </c>
      <c r="J22" t="s">
        <v>841</v>
      </c>
      <c r="K22" t="s">
        <v>842</v>
      </c>
      <c r="L22">
        <v>1346</v>
      </c>
      <c r="N22">
        <v>1009</v>
      </c>
      <c r="O22" t="s">
        <v>217</v>
      </c>
      <c r="P22" t="s">
        <v>217</v>
      </c>
      <c r="Q22">
        <v>1</v>
      </c>
      <c r="X22">
        <v>0.41</v>
      </c>
      <c r="Y22">
        <v>6.09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36</v>
      </c>
      <c r="AG22">
        <v>0</v>
      </c>
      <c r="AH22">
        <v>2</v>
      </c>
      <c r="AI22">
        <v>39477407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39477408</v>
      </c>
      <c r="C23">
        <v>39477396</v>
      </c>
      <c r="D23">
        <v>36803259</v>
      </c>
      <c r="E23">
        <v>1</v>
      </c>
      <c r="F23">
        <v>1</v>
      </c>
      <c r="G23">
        <v>1</v>
      </c>
      <c r="H23">
        <v>3</v>
      </c>
      <c r="I23" t="s">
        <v>843</v>
      </c>
      <c r="J23" t="s">
        <v>844</v>
      </c>
      <c r="K23" t="s">
        <v>845</v>
      </c>
      <c r="L23">
        <v>1348</v>
      </c>
      <c r="N23">
        <v>1009</v>
      </c>
      <c r="O23" t="s">
        <v>34</v>
      </c>
      <c r="P23" t="s">
        <v>34</v>
      </c>
      <c r="Q23">
        <v>1000</v>
      </c>
      <c r="X23">
        <v>4.0000000000000001E-3</v>
      </c>
      <c r="Y23">
        <v>10749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36</v>
      </c>
      <c r="AG23">
        <v>0</v>
      </c>
      <c r="AH23">
        <v>2</v>
      </c>
      <c r="AI23">
        <v>39477408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39477409</v>
      </c>
      <c r="C24">
        <v>39477396</v>
      </c>
      <c r="D24">
        <v>36804447</v>
      </c>
      <c r="E24">
        <v>1</v>
      </c>
      <c r="F24">
        <v>1</v>
      </c>
      <c r="G24">
        <v>1</v>
      </c>
      <c r="H24">
        <v>3</v>
      </c>
      <c r="I24" t="s">
        <v>1081</v>
      </c>
      <c r="J24" t="s">
        <v>1082</v>
      </c>
      <c r="K24" t="s">
        <v>1083</v>
      </c>
      <c r="L24">
        <v>1348</v>
      </c>
      <c r="N24">
        <v>1009</v>
      </c>
      <c r="O24" t="s">
        <v>34</v>
      </c>
      <c r="P24" t="s">
        <v>34</v>
      </c>
      <c r="Q24">
        <v>1000</v>
      </c>
      <c r="X24">
        <v>0</v>
      </c>
      <c r="Y24">
        <v>9040.01</v>
      </c>
      <c r="Z24">
        <v>0</v>
      </c>
      <c r="AA24">
        <v>0</v>
      </c>
      <c r="AB24">
        <v>0</v>
      </c>
      <c r="AC24">
        <v>1</v>
      </c>
      <c r="AD24">
        <v>0</v>
      </c>
      <c r="AE24">
        <v>0</v>
      </c>
      <c r="AF24" t="s">
        <v>36</v>
      </c>
      <c r="AG24">
        <v>0</v>
      </c>
      <c r="AH24">
        <v>3</v>
      </c>
      <c r="AI24">
        <v>-1</v>
      </c>
      <c r="AJ24" t="s">
        <v>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39477410</v>
      </c>
      <c r="C25">
        <v>39477396</v>
      </c>
      <c r="D25">
        <v>36804545</v>
      </c>
      <c r="E25">
        <v>1</v>
      </c>
      <c r="F25">
        <v>1</v>
      </c>
      <c r="G25">
        <v>1</v>
      </c>
      <c r="H25">
        <v>3</v>
      </c>
      <c r="I25" t="s">
        <v>846</v>
      </c>
      <c r="J25" t="s">
        <v>847</v>
      </c>
      <c r="K25" t="s">
        <v>848</v>
      </c>
      <c r="L25">
        <v>1348</v>
      </c>
      <c r="N25">
        <v>1009</v>
      </c>
      <c r="O25" t="s">
        <v>34</v>
      </c>
      <c r="P25" t="s">
        <v>34</v>
      </c>
      <c r="Q25">
        <v>1000</v>
      </c>
      <c r="X25">
        <v>1.0000000000000001E-5</v>
      </c>
      <c r="Y25">
        <v>11978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36</v>
      </c>
      <c r="AG25">
        <v>0</v>
      </c>
      <c r="AH25">
        <v>2</v>
      </c>
      <c r="AI25">
        <v>39477410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39477411</v>
      </c>
      <c r="C26">
        <v>39477396</v>
      </c>
      <c r="D26">
        <v>36805527</v>
      </c>
      <c r="E26">
        <v>1</v>
      </c>
      <c r="F26">
        <v>1</v>
      </c>
      <c r="G26">
        <v>1</v>
      </c>
      <c r="H26">
        <v>3</v>
      </c>
      <c r="I26" t="s">
        <v>849</v>
      </c>
      <c r="J26" t="s">
        <v>850</v>
      </c>
      <c r="K26" t="s">
        <v>851</v>
      </c>
      <c r="L26">
        <v>1348</v>
      </c>
      <c r="N26">
        <v>1009</v>
      </c>
      <c r="O26" t="s">
        <v>34</v>
      </c>
      <c r="P26" t="s">
        <v>34</v>
      </c>
      <c r="Q26">
        <v>1000</v>
      </c>
      <c r="X26">
        <v>1E-4</v>
      </c>
      <c r="Y26">
        <v>37900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36</v>
      </c>
      <c r="AG26">
        <v>0</v>
      </c>
      <c r="AH26">
        <v>2</v>
      </c>
      <c r="AI26">
        <v>39477411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39477412</v>
      </c>
      <c r="C27">
        <v>39477396</v>
      </c>
      <c r="D27">
        <v>36823258</v>
      </c>
      <c r="E27">
        <v>1</v>
      </c>
      <c r="F27">
        <v>1</v>
      </c>
      <c r="G27">
        <v>1</v>
      </c>
      <c r="H27">
        <v>3</v>
      </c>
      <c r="I27" t="s">
        <v>852</v>
      </c>
      <c r="J27" t="s">
        <v>853</v>
      </c>
      <c r="K27" t="s">
        <v>854</v>
      </c>
      <c r="L27">
        <v>1348</v>
      </c>
      <c r="N27">
        <v>1009</v>
      </c>
      <c r="O27" t="s">
        <v>34</v>
      </c>
      <c r="P27" t="s">
        <v>34</v>
      </c>
      <c r="Q27">
        <v>1000</v>
      </c>
      <c r="X27">
        <v>1E-3</v>
      </c>
      <c r="Y27">
        <v>7712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36</v>
      </c>
      <c r="AG27">
        <v>0</v>
      </c>
      <c r="AH27">
        <v>2</v>
      </c>
      <c r="AI27">
        <v>39477412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39477413</v>
      </c>
      <c r="C28">
        <v>39477396</v>
      </c>
      <c r="D28">
        <v>36796419</v>
      </c>
      <c r="E28">
        <v>17</v>
      </c>
      <c r="F28">
        <v>1</v>
      </c>
      <c r="G28">
        <v>1</v>
      </c>
      <c r="H28">
        <v>3</v>
      </c>
      <c r="I28" t="s">
        <v>1243</v>
      </c>
      <c r="J28" t="s">
        <v>3</v>
      </c>
      <c r="K28" t="s">
        <v>1244</v>
      </c>
      <c r="L28">
        <v>1348</v>
      </c>
      <c r="N28">
        <v>1009</v>
      </c>
      <c r="O28" t="s">
        <v>34</v>
      </c>
      <c r="P28" t="s">
        <v>34</v>
      </c>
      <c r="Q28">
        <v>1000</v>
      </c>
      <c r="X28">
        <v>1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 t="s">
        <v>36</v>
      </c>
      <c r="AG28">
        <v>0</v>
      </c>
      <c r="AH28">
        <v>3</v>
      </c>
      <c r="AI28">
        <v>-1</v>
      </c>
      <c r="AJ28" t="s">
        <v>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39477414</v>
      </c>
      <c r="C29">
        <v>39477396</v>
      </c>
      <c r="D29">
        <v>36825287</v>
      </c>
      <c r="E29">
        <v>1</v>
      </c>
      <c r="F29">
        <v>1</v>
      </c>
      <c r="G29">
        <v>1</v>
      </c>
      <c r="H29">
        <v>3</v>
      </c>
      <c r="I29" t="s">
        <v>855</v>
      </c>
      <c r="J29" t="s">
        <v>856</v>
      </c>
      <c r="K29" t="s">
        <v>857</v>
      </c>
      <c r="L29">
        <v>1302</v>
      </c>
      <c r="N29">
        <v>1003</v>
      </c>
      <c r="O29" t="s">
        <v>466</v>
      </c>
      <c r="P29" t="s">
        <v>466</v>
      </c>
      <c r="Q29">
        <v>10</v>
      </c>
      <c r="X29">
        <v>1.8700000000000001E-2</v>
      </c>
      <c r="Y29">
        <v>50.24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36</v>
      </c>
      <c r="AG29">
        <v>0</v>
      </c>
      <c r="AH29">
        <v>2</v>
      </c>
      <c r="AI29">
        <v>39477414</v>
      </c>
      <c r="AJ29">
        <v>27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39477415</v>
      </c>
      <c r="C30">
        <v>39477396</v>
      </c>
      <c r="D30">
        <v>36825646</v>
      </c>
      <c r="E30">
        <v>1</v>
      </c>
      <c r="F30">
        <v>1</v>
      </c>
      <c r="G30">
        <v>1</v>
      </c>
      <c r="H30">
        <v>3</v>
      </c>
      <c r="I30" t="s">
        <v>858</v>
      </c>
      <c r="J30" t="s">
        <v>859</v>
      </c>
      <c r="K30" t="s">
        <v>860</v>
      </c>
      <c r="L30">
        <v>1348</v>
      </c>
      <c r="N30">
        <v>1009</v>
      </c>
      <c r="O30" t="s">
        <v>34</v>
      </c>
      <c r="P30" t="s">
        <v>34</v>
      </c>
      <c r="Q30">
        <v>1000</v>
      </c>
      <c r="X30">
        <v>3.0000000000000001E-5</v>
      </c>
      <c r="Y30">
        <v>4455.2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36</v>
      </c>
      <c r="AG30">
        <v>0</v>
      </c>
      <c r="AH30">
        <v>2</v>
      </c>
      <c r="AI30">
        <v>39477415</v>
      </c>
      <c r="AJ30">
        <v>28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39477416</v>
      </c>
      <c r="C31">
        <v>39477396</v>
      </c>
      <c r="D31">
        <v>36826406</v>
      </c>
      <c r="E31">
        <v>1</v>
      </c>
      <c r="F31">
        <v>1</v>
      </c>
      <c r="G31">
        <v>1</v>
      </c>
      <c r="H31">
        <v>3</v>
      </c>
      <c r="I31" t="s">
        <v>861</v>
      </c>
      <c r="J31" t="s">
        <v>862</v>
      </c>
      <c r="K31" t="s">
        <v>863</v>
      </c>
      <c r="L31">
        <v>1348</v>
      </c>
      <c r="N31">
        <v>1009</v>
      </c>
      <c r="O31" t="s">
        <v>34</v>
      </c>
      <c r="P31" t="s">
        <v>34</v>
      </c>
      <c r="Q31">
        <v>1000</v>
      </c>
      <c r="X31">
        <v>1.9400000000000001E-3</v>
      </c>
      <c r="Y31">
        <v>4920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36</v>
      </c>
      <c r="AG31">
        <v>0</v>
      </c>
      <c r="AH31">
        <v>2</v>
      </c>
      <c r="AI31">
        <v>39477416</v>
      </c>
      <c r="AJ31">
        <v>29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39477417</v>
      </c>
      <c r="C32">
        <v>39477396</v>
      </c>
      <c r="D32">
        <v>36830313</v>
      </c>
      <c r="E32">
        <v>1</v>
      </c>
      <c r="F32">
        <v>1</v>
      </c>
      <c r="G32">
        <v>1</v>
      </c>
      <c r="H32">
        <v>3</v>
      </c>
      <c r="I32" t="s">
        <v>864</v>
      </c>
      <c r="J32" t="s">
        <v>865</v>
      </c>
      <c r="K32" t="s">
        <v>866</v>
      </c>
      <c r="L32">
        <v>1339</v>
      </c>
      <c r="N32">
        <v>1007</v>
      </c>
      <c r="O32" t="s">
        <v>25</v>
      </c>
      <c r="P32" t="s">
        <v>25</v>
      </c>
      <c r="Q32">
        <v>1</v>
      </c>
      <c r="X32">
        <v>1.0300000000000001E-3</v>
      </c>
      <c r="Y32">
        <v>1700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36</v>
      </c>
      <c r="AG32">
        <v>0</v>
      </c>
      <c r="AH32">
        <v>2</v>
      </c>
      <c r="AI32">
        <v>39477417</v>
      </c>
      <c r="AJ32">
        <v>30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39477418</v>
      </c>
      <c r="C33">
        <v>39477396</v>
      </c>
      <c r="D33">
        <v>36837948</v>
      </c>
      <c r="E33">
        <v>1</v>
      </c>
      <c r="F33">
        <v>1</v>
      </c>
      <c r="G33">
        <v>1</v>
      </c>
      <c r="H33">
        <v>3</v>
      </c>
      <c r="I33" t="s">
        <v>867</v>
      </c>
      <c r="J33" t="s">
        <v>868</v>
      </c>
      <c r="K33" t="s">
        <v>869</v>
      </c>
      <c r="L33">
        <v>1348</v>
      </c>
      <c r="N33">
        <v>1009</v>
      </c>
      <c r="O33" t="s">
        <v>34</v>
      </c>
      <c r="P33" t="s">
        <v>34</v>
      </c>
      <c r="Q33">
        <v>1000</v>
      </c>
      <c r="X33">
        <v>3.1E-4</v>
      </c>
      <c r="Y33">
        <v>15620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36</v>
      </c>
      <c r="AG33">
        <v>0</v>
      </c>
      <c r="AH33">
        <v>2</v>
      </c>
      <c r="AI33">
        <v>39477418</v>
      </c>
      <c r="AJ33">
        <v>31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39477419</v>
      </c>
      <c r="C34">
        <v>39477396</v>
      </c>
      <c r="D34">
        <v>36839146</v>
      </c>
      <c r="E34">
        <v>1</v>
      </c>
      <c r="F34">
        <v>1</v>
      </c>
      <c r="G34">
        <v>1</v>
      </c>
      <c r="H34">
        <v>3</v>
      </c>
      <c r="I34" t="s">
        <v>870</v>
      </c>
      <c r="J34" t="s">
        <v>871</v>
      </c>
      <c r="K34" t="s">
        <v>872</v>
      </c>
      <c r="L34">
        <v>1348</v>
      </c>
      <c r="N34">
        <v>1009</v>
      </c>
      <c r="O34" t="s">
        <v>34</v>
      </c>
      <c r="P34" t="s">
        <v>34</v>
      </c>
      <c r="Q34">
        <v>1000</v>
      </c>
      <c r="X34">
        <v>5.9999999999999995E-4</v>
      </c>
      <c r="Y34">
        <v>9420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36</v>
      </c>
      <c r="AG34">
        <v>0</v>
      </c>
      <c r="AH34">
        <v>2</v>
      </c>
      <c r="AI34">
        <v>39477419</v>
      </c>
      <c r="AJ34">
        <v>32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39477427</v>
      </c>
      <c r="C35">
        <v>39477426</v>
      </c>
      <c r="D35">
        <v>37068148</v>
      </c>
      <c r="E35">
        <v>1</v>
      </c>
      <c r="F35">
        <v>1</v>
      </c>
      <c r="G35">
        <v>1</v>
      </c>
      <c r="H35">
        <v>1</v>
      </c>
      <c r="I35" t="s">
        <v>873</v>
      </c>
      <c r="J35" t="s">
        <v>3</v>
      </c>
      <c r="K35" t="s">
        <v>874</v>
      </c>
      <c r="L35">
        <v>1191</v>
      </c>
      <c r="N35">
        <v>1013</v>
      </c>
      <c r="O35" t="s">
        <v>796</v>
      </c>
      <c r="P35" t="s">
        <v>796</v>
      </c>
      <c r="Q35">
        <v>1</v>
      </c>
      <c r="X35">
        <v>172.76</v>
      </c>
      <c r="Y35">
        <v>0</v>
      </c>
      <c r="Z35">
        <v>0</v>
      </c>
      <c r="AA35">
        <v>0</v>
      </c>
      <c r="AB35">
        <v>8.09</v>
      </c>
      <c r="AC35">
        <v>0</v>
      </c>
      <c r="AD35">
        <v>1</v>
      </c>
      <c r="AE35">
        <v>1</v>
      </c>
      <c r="AF35" t="s">
        <v>3</v>
      </c>
      <c r="AG35">
        <v>172.76</v>
      </c>
      <c r="AH35">
        <v>2</v>
      </c>
      <c r="AI35">
        <v>39477427</v>
      </c>
      <c r="AJ35">
        <v>33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39477428</v>
      </c>
      <c r="C36">
        <v>39477426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797</v>
      </c>
      <c r="J36" t="s">
        <v>3</v>
      </c>
      <c r="K36" t="s">
        <v>798</v>
      </c>
      <c r="L36">
        <v>1191</v>
      </c>
      <c r="N36">
        <v>1013</v>
      </c>
      <c r="O36" t="s">
        <v>796</v>
      </c>
      <c r="P36" t="s">
        <v>796</v>
      </c>
      <c r="Q36">
        <v>1</v>
      </c>
      <c r="X36">
        <v>7.74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3</v>
      </c>
      <c r="AG36">
        <v>7.74</v>
      </c>
      <c r="AH36">
        <v>2</v>
      </c>
      <c r="AI36">
        <v>39477428</v>
      </c>
      <c r="AJ36">
        <v>34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39477429</v>
      </c>
      <c r="C37">
        <v>39477426</v>
      </c>
      <c r="D37">
        <v>36882452</v>
      </c>
      <c r="E37">
        <v>1</v>
      </c>
      <c r="F37">
        <v>1</v>
      </c>
      <c r="G37">
        <v>1</v>
      </c>
      <c r="H37">
        <v>2</v>
      </c>
      <c r="I37" t="s">
        <v>799</v>
      </c>
      <c r="J37" t="s">
        <v>800</v>
      </c>
      <c r="K37" t="s">
        <v>801</v>
      </c>
      <c r="L37">
        <v>1368</v>
      </c>
      <c r="N37">
        <v>1011</v>
      </c>
      <c r="O37" t="s">
        <v>802</v>
      </c>
      <c r="P37" t="s">
        <v>802</v>
      </c>
      <c r="Q37">
        <v>1</v>
      </c>
      <c r="X37">
        <v>7.74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7.74</v>
      </c>
      <c r="AH37">
        <v>2</v>
      </c>
      <c r="AI37">
        <v>39477429</v>
      </c>
      <c r="AJ37">
        <v>35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ROW(Source!A32)</f>
        <v>32</v>
      </c>
      <c r="B38">
        <v>39477431</v>
      </c>
      <c r="C38">
        <v>39477430</v>
      </c>
      <c r="D38">
        <v>37068148</v>
      </c>
      <c r="E38">
        <v>1</v>
      </c>
      <c r="F38">
        <v>1</v>
      </c>
      <c r="G38">
        <v>1</v>
      </c>
      <c r="H38">
        <v>1</v>
      </c>
      <c r="I38" t="s">
        <v>873</v>
      </c>
      <c r="J38" t="s">
        <v>3</v>
      </c>
      <c r="K38" t="s">
        <v>874</v>
      </c>
      <c r="L38">
        <v>1191</v>
      </c>
      <c r="N38">
        <v>1013</v>
      </c>
      <c r="O38" t="s">
        <v>796</v>
      </c>
      <c r="P38" t="s">
        <v>796</v>
      </c>
      <c r="Q38">
        <v>1</v>
      </c>
      <c r="X38">
        <v>103.91</v>
      </c>
      <c r="Y38">
        <v>0</v>
      </c>
      <c r="Z38">
        <v>0</v>
      </c>
      <c r="AA38">
        <v>0</v>
      </c>
      <c r="AB38">
        <v>8.09</v>
      </c>
      <c r="AC38">
        <v>0</v>
      </c>
      <c r="AD38">
        <v>1</v>
      </c>
      <c r="AE38">
        <v>1</v>
      </c>
      <c r="AF38" t="s">
        <v>3</v>
      </c>
      <c r="AG38">
        <v>103.91</v>
      </c>
      <c r="AH38">
        <v>2</v>
      </c>
      <c r="AI38">
        <v>39477431</v>
      </c>
      <c r="AJ38">
        <v>36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ROW(Source!A32)</f>
        <v>32</v>
      </c>
      <c r="B39">
        <v>39477432</v>
      </c>
      <c r="C39">
        <v>39477430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797</v>
      </c>
      <c r="J39" t="s">
        <v>3</v>
      </c>
      <c r="K39" t="s">
        <v>798</v>
      </c>
      <c r="L39">
        <v>1191</v>
      </c>
      <c r="N39">
        <v>1013</v>
      </c>
      <c r="O39" t="s">
        <v>796</v>
      </c>
      <c r="P39" t="s">
        <v>796</v>
      </c>
      <c r="Q39">
        <v>1</v>
      </c>
      <c r="X39">
        <v>7.74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2</v>
      </c>
      <c r="AF39" t="s">
        <v>3</v>
      </c>
      <c r="AG39">
        <v>7.74</v>
      </c>
      <c r="AH39">
        <v>2</v>
      </c>
      <c r="AI39">
        <v>39477432</v>
      </c>
      <c r="AJ39">
        <v>37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ROW(Source!A32)</f>
        <v>32</v>
      </c>
      <c r="B40">
        <v>39477433</v>
      </c>
      <c r="C40">
        <v>39477430</v>
      </c>
      <c r="D40">
        <v>36882452</v>
      </c>
      <c r="E40">
        <v>1</v>
      </c>
      <c r="F40">
        <v>1</v>
      </c>
      <c r="G40">
        <v>1</v>
      </c>
      <c r="H40">
        <v>2</v>
      </c>
      <c r="I40" t="s">
        <v>799</v>
      </c>
      <c r="J40" t="s">
        <v>800</v>
      </c>
      <c r="K40" t="s">
        <v>801</v>
      </c>
      <c r="L40">
        <v>1368</v>
      </c>
      <c r="N40">
        <v>1011</v>
      </c>
      <c r="O40" t="s">
        <v>802</v>
      </c>
      <c r="P40" t="s">
        <v>802</v>
      </c>
      <c r="Q40">
        <v>1</v>
      </c>
      <c r="X40">
        <v>7.74</v>
      </c>
      <c r="Y40">
        <v>0</v>
      </c>
      <c r="Z40">
        <v>31.26</v>
      </c>
      <c r="AA40">
        <v>13.5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7.74</v>
      </c>
      <c r="AH40">
        <v>2</v>
      </c>
      <c r="AI40">
        <v>39477433</v>
      </c>
      <c r="AJ40">
        <v>38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ROW(Source!A33)</f>
        <v>33</v>
      </c>
      <c r="B41">
        <v>39477435</v>
      </c>
      <c r="C41">
        <v>39477434</v>
      </c>
      <c r="D41">
        <v>37070495</v>
      </c>
      <c r="E41">
        <v>1</v>
      </c>
      <c r="F41">
        <v>1</v>
      </c>
      <c r="G41">
        <v>1</v>
      </c>
      <c r="H41">
        <v>1</v>
      </c>
      <c r="I41" t="s">
        <v>875</v>
      </c>
      <c r="J41" t="s">
        <v>3</v>
      </c>
      <c r="K41" t="s">
        <v>876</v>
      </c>
      <c r="L41">
        <v>1191</v>
      </c>
      <c r="N41">
        <v>1013</v>
      </c>
      <c r="O41" t="s">
        <v>796</v>
      </c>
      <c r="P41" t="s">
        <v>796</v>
      </c>
      <c r="Q41">
        <v>1</v>
      </c>
      <c r="X41">
        <v>187.55</v>
      </c>
      <c r="Y41">
        <v>0</v>
      </c>
      <c r="Z41">
        <v>0</v>
      </c>
      <c r="AA41">
        <v>0</v>
      </c>
      <c r="AB41">
        <v>8.74</v>
      </c>
      <c r="AC41">
        <v>0</v>
      </c>
      <c r="AD41">
        <v>1</v>
      </c>
      <c r="AE41">
        <v>1</v>
      </c>
      <c r="AF41" t="s">
        <v>54</v>
      </c>
      <c r="AG41">
        <v>258.81900000000002</v>
      </c>
      <c r="AH41">
        <v>2</v>
      </c>
      <c r="AI41">
        <v>39477435</v>
      </c>
      <c r="AJ41">
        <v>39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ROW(Source!A33)</f>
        <v>33</v>
      </c>
      <c r="B42">
        <v>39477436</v>
      </c>
      <c r="C42">
        <v>39477434</v>
      </c>
      <c r="D42">
        <v>37064876</v>
      </c>
      <c r="E42">
        <v>1</v>
      </c>
      <c r="F42">
        <v>1</v>
      </c>
      <c r="G42">
        <v>1</v>
      </c>
      <c r="H42">
        <v>1</v>
      </c>
      <c r="I42" t="s">
        <v>797</v>
      </c>
      <c r="J42" t="s">
        <v>3</v>
      </c>
      <c r="K42" t="s">
        <v>798</v>
      </c>
      <c r="L42">
        <v>1191</v>
      </c>
      <c r="N42">
        <v>1013</v>
      </c>
      <c r="O42" t="s">
        <v>796</v>
      </c>
      <c r="P42" t="s">
        <v>796</v>
      </c>
      <c r="Q42">
        <v>1</v>
      </c>
      <c r="X42">
        <v>5.33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53</v>
      </c>
      <c r="AG42">
        <v>7.9949999999999992</v>
      </c>
      <c r="AH42">
        <v>2</v>
      </c>
      <c r="AI42">
        <v>39477436</v>
      </c>
      <c r="AJ42">
        <v>40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ROW(Source!A33)</f>
        <v>33</v>
      </c>
      <c r="B43">
        <v>39477437</v>
      </c>
      <c r="C43">
        <v>39477434</v>
      </c>
      <c r="D43">
        <v>36882452</v>
      </c>
      <c r="E43">
        <v>1</v>
      </c>
      <c r="F43">
        <v>1</v>
      </c>
      <c r="G43">
        <v>1</v>
      </c>
      <c r="H43">
        <v>2</v>
      </c>
      <c r="I43" t="s">
        <v>799</v>
      </c>
      <c r="J43" t="s">
        <v>800</v>
      </c>
      <c r="K43" t="s">
        <v>801</v>
      </c>
      <c r="L43">
        <v>1368</v>
      </c>
      <c r="N43">
        <v>1011</v>
      </c>
      <c r="O43" t="s">
        <v>802</v>
      </c>
      <c r="P43" t="s">
        <v>802</v>
      </c>
      <c r="Q43">
        <v>1</v>
      </c>
      <c r="X43">
        <v>1.76</v>
      </c>
      <c r="Y43">
        <v>0</v>
      </c>
      <c r="Z43">
        <v>31.26</v>
      </c>
      <c r="AA43">
        <v>13.5</v>
      </c>
      <c r="AB43">
        <v>0</v>
      </c>
      <c r="AC43">
        <v>0</v>
      </c>
      <c r="AD43">
        <v>1</v>
      </c>
      <c r="AE43">
        <v>0</v>
      </c>
      <c r="AF43" t="s">
        <v>53</v>
      </c>
      <c r="AG43">
        <v>2.64</v>
      </c>
      <c r="AH43">
        <v>2</v>
      </c>
      <c r="AI43">
        <v>39477437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ROW(Source!A33)</f>
        <v>33</v>
      </c>
      <c r="B44">
        <v>39477438</v>
      </c>
      <c r="C44">
        <v>39477434</v>
      </c>
      <c r="D44">
        <v>36883554</v>
      </c>
      <c r="E44">
        <v>1</v>
      </c>
      <c r="F44">
        <v>1</v>
      </c>
      <c r="G44">
        <v>1</v>
      </c>
      <c r="H44">
        <v>2</v>
      </c>
      <c r="I44" t="s">
        <v>834</v>
      </c>
      <c r="J44" t="s">
        <v>835</v>
      </c>
      <c r="K44" t="s">
        <v>836</v>
      </c>
      <c r="L44">
        <v>1368</v>
      </c>
      <c r="N44">
        <v>1011</v>
      </c>
      <c r="O44" t="s">
        <v>802</v>
      </c>
      <c r="P44" t="s">
        <v>802</v>
      </c>
      <c r="Q44">
        <v>1</v>
      </c>
      <c r="X44">
        <v>3.57</v>
      </c>
      <c r="Y44">
        <v>0</v>
      </c>
      <c r="Z44">
        <v>65.709999999999994</v>
      </c>
      <c r="AA44">
        <v>11.6</v>
      </c>
      <c r="AB44">
        <v>0</v>
      </c>
      <c r="AC44">
        <v>0</v>
      </c>
      <c r="AD44">
        <v>1</v>
      </c>
      <c r="AE44">
        <v>0</v>
      </c>
      <c r="AF44" t="s">
        <v>53</v>
      </c>
      <c r="AG44">
        <v>5.3549999999999995</v>
      </c>
      <c r="AH44">
        <v>2</v>
      </c>
      <c r="AI44">
        <v>39477438</v>
      </c>
      <c r="AJ44">
        <v>42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ROW(Source!A33)</f>
        <v>33</v>
      </c>
      <c r="B45">
        <v>39477439</v>
      </c>
      <c r="C45">
        <v>39477434</v>
      </c>
      <c r="D45">
        <v>36802057</v>
      </c>
      <c r="E45">
        <v>1</v>
      </c>
      <c r="F45">
        <v>1</v>
      </c>
      <c r="G45">
        <v>1</v>
      </c>
      <c r="H45">
        <v>3</v>
      </c>
      <c r="I45" t="s">
        <v>877</v>
      </c>
      <c r="J45" t="s">
        <v>878</v>
      </c>
      <c r="K45" t="s">
        <v>879</v>
      </c>
      <c r="L45">
        <v>1301</v>
      </c>
      <c r="N45">
        <v>1003</v>
      </c>
      <c r="O45" t="s">
        <v>74</v>
      </c>
      <c r="P45" t="s">
        <v>74</v>
      </c>
      <c r="Q45">
        <v>1</v>
      </c>
      <c r="X45">
        <v>347</v>
      </c>
      <c r="Y45">
        <v>6.38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347</v>
      </c>
      <c r="AH45">
        <v>2</v>
      </c>
      <c r="AI45">
        <v>39477439</v>
      </c>
      <c r="AJ45">
        <v>43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39477440</v>
      </c>
      <c r="C46">
        <v>39477434</v>
      </c>
      <c r="D46">
        <v>36802058</v>
      </c>
      <c r="E46">
        <v>1</v>
      </c>
      <c r="F46">
        <v>1</v>
      </c>
      <c r="G46">
        <v>1</v>
      </c>
      <c r="H46">
        <v>3</v>
      </c>
      <c r="I46" t="s">
        <v>880</v>
      </c>
      <c r="J46" t="s">
        <v>881</v>
      </c>
      <c r="K46" t="s">
        <v>882</v>
      </c>
      <c r="L46">
        <v>1301</v>
      </c>
      <c r="N46">
        <v>1003</v>
      </c>
      <c r="O46" t="s">
        <v>74</v>
      </c>
      <c r="P46" t="s">
        <v>74</v>
      </c>
      <c r="Q46">
        <v>1</v>
      </c>
      <c r="X46">
        <v>71</v>
      </c>
      <c r="Y46">
        <v>7.95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71</v>
      </c>
      <c r="AH46">
        <v>2</v>
      </c>
      <c r="AI46">
        <v>39477440</v>
      </c>
      <c r="AJ46">
        <v>44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ROW(Source!A33)</f>
        <v>33</v>
      </c>
      <c r="B47">
        <v>39477441</v>
      </c>
      <c r="C47">
        <v>39477434</v>
      </c>
      <c r="D47">
        <v>36802146</v>
      </c>
      <c r="E47">
        <v>1</v>
      </c>
      <c r="F47">
        <v>1</v>
      </c>
      <c r="G47">
        <v>1</v>
      </c>
      <c r="H47">
        <v>3</v>
      </c>
      <c r="I47" t="s">
        <v>883</v>
      </c>
      <c r="J47" t="s">
        <v>884</v>
      </c>
      <c r="K47" t="s">
        <v>885</v>
      </c>
      <c r="L47">
        <v>1302</v>
      </c>
      <c r="N47">
        <v>1003</v>
      </c>
      <c r="O47" t="s">
        <v>466</v>
      </c>
      <c r="P47" t="s">
        <v>466</v>
      </c>
      <c r="Q47">
        <v>10</v>
      </c>
      <c r="X47">
        <v>21.4</v>
      </c>
      <c r="Y47">
        <v>64.099999999999994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21.4</v>
      </c>
      <c r="AH47">
        <v>2</v>
      </c>
      <c r="AI47">
        <v>39477441</v>
      </c>
      <c r="AJ47">
        <v>45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ROW(Source!A33)</f>
        <v>33</v>
      </c>
      <c r="B48">
        <v>39477442</v>
      </c>
      <c r="C48">
        <v>39477434</v>
      </c>
      <c r="D48">
        <v>36804571</v>
      </c>
      <c r="E48">
        <v>1</v>
      </c>
      <c r="F48">
        <v>1</v>
      </c>
      <c r="G48">
        <v>1</v>
      </c>
      <c r="H48">
        <v>3</v>
      </c>
      <c r="I48" t="s">
        <v>886</v>
      </c>
      <c r="J48" t="s">
        <v>887</v>
      </c>
      <c r="K48" t="s">
        <v>888</v>
      </c>
      <c r="L48">
        <v>1358</v>
      </c>
      <c r="N48">
        <v>1010</v>
      </c>
      <c r="O48" t="s">
        <v>160</v>
      </c>
      <c r="P48" t="s">
        <v>160</v>
      </c>
      <c r="Q48">
        <v>10</v>
      </c>
      <c r="X48">
        <v>61.2</v>
      </c>
      <c r="Y48">
        <v>7.03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61.2</v>
      </c>
      <c r="AH48">
        <v>2</v>
      </c>
      <c r="AI48">
        <v>39477442</v>
      </c>
      <c r="AJ48">
        <v>46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ROW(Source!A33)</f>
        <v>33</v>
      </c>
      <c r="B49">
        <v>39477443</v>
      </c>
      <c r="C49">
        <v>39477434</v>
      </c>
      <c r="D49">
        <v>36796973</v>
      </c>
      <c r="E49">
        <v>17</v>
      </c>
      <c r="F49">
        <v>1</v>
      </c>
      <c r="G49">
        <v>1</v>
      </c>
      <c r="H49">
        <v>3</v>
      </c>
      <c r="I49" t="s">
        <v>64</v>
      </c>
      <c r="J49" t="s">
        <v>3</v>
      </c>
      <c r="K49" t="s">
        <v>65</v>
      </c>
      <c r="L49">
        <v>1327</v>
      </c>
      <c r="N49">
        <v>1005</v>
      </c>
      <c r="O49" t="s">
        <v>61</v>
      </c>
      <c r="P49" t="s">
        <v>61</v>
      </c>
      <c r="Q49">
        <v>1</v>
      </c>
      <c r="X49">
        <v>100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3</v>
      </c>
      <c r="AG49">
        <v>100</v>
      </c>
      <c r="AH49">
        <v>2</v>
      </c>
      <c r="AI49">
        <v>39477443</v>
      </c>
      <c r="AJ49">
        <v>48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ROW(Source!A33)</f>
        <v>33</v>
      </c>
      <c r="B50">
        <v>39477444</v>
      </c>
      <c r="C50">
        <v>39477434</v>
      </c>
      <c r="D50">
        <v>36832273</v>
      </c>
      <c r="E50">
        <v>1</v>
      </c>
      <c r="F50">
        <v>1</v>
      </c>
      <c r="G50">
        <v>1</v>
      </c>
      <c r="H50">
        <v>3</v>
      </c>
      <c r="I50" t="s">
        <v>889</v>
      </c>
      <c r="J50" t="s">
        <v>890</v>
      </c>
      <c r="K50" t="s">
        <v>891</v>
      </c>
      <c r="L50">
        <v>1355</v>
      </c>
      <c r="N50">
        <v>1010</v>
      </c>
      <c r="O50" t="s">
        <v>429</v>
      </c>
      <c r="P50" t="s">
        <v>429</v>
      </c>
      <c r="Q50">
        <v>100</v>
      </c>
      <c r="X50">
        <v>8</v>
      </c>
      <c r="Y50">
        <v>50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8</v>
      </c>
      <c r="AH50">
        <v>2</v>
      </c>
      <c r="AI50">
        <v>39477444</v>
      </c>
      <c r="AJ50">
        <v>49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ROW(Source!A33)</f>
        <v>33</v>
      </c>
      <c r="B51">
        <v>39477445</v>
      </c>
      <c r="C51">
        <v>39477434</v>
      </c>
      <c r="D51">
        <v>36838722</v>
      </c>
      <c r="E51">
        <v>1</v>
      </c>
      <c r="F51">
        <v>1</v>
      </c>
      <c r="G51">
        <v>1</v>
      </c>
      <c r="H51">
        <v>3</v>
      </c>
      <c r="I51" t="s">
        <v>892</v>
      </c>
      <c r="J51" t="s">
        <v>893</v>
      </c>
      <c r="K51" t="s">
        <v>894</v>
      </c>
      <c r="L51">
        <v>1354</v>
      </c>
      <c r="N51">
        <v>1010</v>
      </c>
      <c r="O51" t="s">
        <v>415</v>
      </c>
      <c r="P51" t="s">
        <v>415</v>
      </c>
      <c r="Q51">
        <v>1</v>
      </c>
      <c r="X51">
        <v>92</v>
      </c>
      <c r="Y51">
        <v>67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92</v>
      </c>
      <c r="AH51">
        <v>2</v>
      </c>
      <c r="AI51">
        <v>39477445</v>
      </c>
      <c r="AJ51">
        <v>50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ROW(Source!A36)</f>
        <v>36</v>
      </c>
      <c r="B52">
        <v>39477448</v>
      </c>
      <c r="C52">
        <v>39477447</v>
      </c>
      <c r="D52">
        <v>37065248</v>
      </c>
      <c r="E52">
        <v>1</v>
      </c>
      <c r="F52">
        <v>1</v>
      </c>
      <c r="G52">
        <v>1</v>
      </c>
      <c r="H52">
        <v>1</v>
      </c>
      <c r="I52" t="s">
        <v>895</v>
      </c>
      <c r="J52" t="s">
        <v>3</v>
      </c>
      <c r="K52" t="s">
        <v>896</v>
      </c>
      <c r="L52">
        <v>1191</v>
      </c>
      <c r="N52">
        <v>1013</v>
      </c>
      <c r="O52" t="s">
        <v>796</v>
      </c>
      <c r="P52" t="s">
        <v>796</v>
      </c>
      <c r="Q52">
        <v>1</v>
      </c>
      <c r="X52">
        <v>21.19</v>
      </c>
      <c r="Y52">
        <v>0</v>
      </c>
      <c r="Z52">
        <v>0</v>
      </c>
      <c r="AA52">
        <v>0</v>
      </c>
      <c r="AB52">
        <v>8.5299999999999994</v>
      </c>
      <c r="AC52">
        <v>0</v>
      </c>
      <c r="AD52">
        <v>1</v>
      </c>
      <c r="AE52">
        <v>1</v>
      </c>
      <c r="AF52" t="s">
        <v>54</v>
      </c>
      <c r="AG52">
        <v>29.2422</v>
      </c>
      <c r="AH52">
        <v>2</v>
      </c>
      <c r="AI52">
        <v>39477448</v>
      </c>
      <c r="AJ52">
        <v>51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ROW(Source!A36)</f>
        <v>36</v>
      </c>
      <c r="B53">
        <v>39477449</v>
      </c>
      <c r="C53">
        <v>39477447</v>
      </c>
      <c r="D53">
        <v>37064876</v>
      </c>
      <c r="E53">
        <v>1</v>
      </c>
      <c r="F53">
        <v>1</v>
      </c>
      <c r="G53">
        <v>1</v>
      </c>
      <c r="H53">
        <v>1</v>
      </c>
      <c r="I53" t="s">
        <v>797</v>
      </c>
      <c r="J53" t="s">
        <v>3</v>
      </c>
      <c r="K53" t="s">
        <v>798</v>
      </c>
      <c r="L53">
        <v>1191</v>
      </c>
      <c r="N53">
        <v>1013</v>
      </c>
      <c r="O53" t="s">
        <v>796</v>
      </c>
      <c r="P53" t="s">
        <v>796</v>
      </c>
      <c r="Q53">
        <v>1</v>
      </c>
      <c r="X53">
        <v>0.19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2</v>
      </c>
      <c r="AF53" t="s">
        <v>53</v>
      </c>
      <c r="AG53">
        <v>0.28499999999999998</v>
      </c>
      <c r="AH53">
        <v>2</v>
      </c>
      <c r="AI53">
        <v>39477449</v>
      </c>
      <c r="AJ53">
        <v>52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ROW(Source!A36)</f>
        <v>36</v>
      </c>
      <c r="B54">
        <v>39477450</v>
      </c>
      <c r="C54">
        <v>39477447</v>
      </c>
      <c r="D54">
        <v>36882452</v>
      </c>
      <c r="E54">
        <v>1</v>
      </c>
      <c r="F54">
        <v>1</v>
      </c>
      <c r="G54">
        <v>1</v>
      </c>
      <c r="H54">
        <v>2</v>
      </c>
      <c r="I54" t="s">
        <v>799</v>
      </c>
      <c r="J54" t="s">
        <v>800</v>
      </c>
      <c r="K54" t="s">
        <v>801</v>
      </c>
      <c r="L54">
        <v>1368</v>
      </c>
      <c r="N54">
        <v>1011</v>
      </c>
      <c r="O54" t="s">
        <v>802</v>
      </c>
      <c r="P54" t="s">
        <v>802</v>
      </c>
      <c r="Q54">
        <v>1</v>
      </c>
      <c r="X54">
        <v>0.04</v>
      </c>
      <c r="Y54">
        <v>0</v>
      </c>
      <c r="Z54">
        <v>31.26</v>
      </c>
      <c r="AA54">
        <v>13.5</v>
      </c>
      <c r="AB54">
        <v>0</v>
      </c>
      <c r="AC54">
        <v>0</v>
      </c>
      <c r="AD54">
        <v>1</v>
      </c>
      <c r="AE54">
        <v>0</v>
      </c>
      <c r="AF54" t="s">
        <v>53</v>
      </c>
      <c r="AG54">
        <v>0.06</v>
      </c>
      <c r="AH54">
        <v>2</v>
      </c>
      <c r="AI54">
        <v>39477450</v>
      </c>
      <c r="AJ54">
        <v>53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ROW(Source!A36)</f>
        <v>36</v>
      </c>
      <c r="B55">
        <v>39477451</v>
      </c>
      <c r="C55">
        <v>39477447</v>
      </c>
      <c r="D55">
        <v>36883554</v>
      </c>
      <c r="E55">
        <v>1</v>
      </c>
      <c r="F55">
        <v>1</v>
      </c>
      <c r="G55">
        <v>1</v>
      </c>
      <c r="H55">
        <v>2</v>
      </c>
      <c r="I55" t="s">
        <v>834</v>
      </c>
      <c r="J55" t="s">
        <v>835</v>
      </c>
      <c r="K55" t="s">
        <v>836</v>
      </c>
      <c r="L55">
        <v>1368</v>
      </c>
      <c r="N55">
        <v>1011</v>
      </c>
      <c r="O55" t="s">
        <v>802</v>
      </c>
      <c r="P55" t="s">
        <v>802</v>
      </c>
      <c r="Q55">
        <v>1</v>
      </c>
      <c r="X55">
        <v>0.15</v>
      </c>
      <c r="Y55">
        <v>0</v>
      </c>
      <c r="Z55">
        <v>65.709999999999994</v>
      </c>
      <c r="AA55">
        <v>11.6</v>
      </c>
      <c r="AB55">
        <v>0</v>
      </c>
      <c r="AC55">
        <v>0</v>
      </c>
      <c r="AD55">
        <v>1</v>
      </c>
      <c r="AE55">
        <v>0</v>
      </c>
      <c r="AF55" t="s">
        <v>53</v>
      </c>
      <c r="AG55">
        <v>0.22499999999999998</v>
      </c>
      <c r="AH55">
        <v>2</v>
      </c>
      <c r="AI55">
        <v>39477451</v>
      </c>
      <c r="AJ55">
        <v>54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ROW(Source!A36)</f>
        <v>36</v>
      </c>
      <c r="B56">
        <v>39477452</v>
      </c>
      <c r="C56">
        <v>39477447</v>
      </c>
      <c r="D56">
        <v>36796976</v>
      </c>
      <c r="E56">
        <v>17</v>
      </c>
      <c r="F56">
        <v>1</v>
      </c>
      <c r="G56">
        <v>1</v>
      </c>
      <c r="H56">
        <v>3</v>
      </c>
      <c r="I56" t="s">
        <v>77</v>
      </c>
      <c r="J56" t="s">
        <v>3</v>
      </c>
      <c r="K56" t="s">
        <v>78</v>
      </c>
      <c r="L56">
        <v>1301</v>
      </c>
      <c r="N56">
        <v>1003</v>
      </c>
      <c r="O56" t="s">
        <v>74</v>
      </c>
      <c r="P56" t="s">
        <v>74</v>
      </c>
      <c r="Q56">
        <v>1</v>
      </c>
      <c r="X56">
        <v>0</v>
      </c>
      <c r="Y56">
        <v>0</v>
      </c>
      <c r="Z56">
        <v>0</v>
      </c>
      <c r="AA56">
        <v>0</v>
      </c>
      <c r="AB56">
        <v>0</v>
      </c>
      <c r="AC56">
        <v>1</v>
      </c>
      <c r="AD56">
        <v>0</v>
      </c>
      <c r="AE56">
        <v>0</v>
      </c>
      <c r="AF56" t="s">
        <v>3</v>
      </c>
      <c r="AG56">
        <v>0</v>
      </c>
      <c r="AH56">
        <v>2</v>
      </c>
      <c r="AI56">
        <v>39477452</v>
      </c>
      <c r="AJ56">
        <v>55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ROW(Source!A36)</f>
        <v>36</v>
      </c>
      <c r="B57">
        <v>39477453</v>
      </c>
      <c r="C57">
        <v>39477447</v>
      </c>
      <c r="D57">
        <v>36832273</v>
      </c>
      <c r="E57">
        <v>1</v>
      </c>
      <c r="F57">
        <v>1</v>
      </c>
      <c r="G57">
        <v>1</v>
      </c>
      <c r="H57">
        <v>3</v>
      </c>
      <c r="I57" t="s">
        <v>889</v>
      </c>
      <c r="J57" t="s">
        <v>890</v>
      </c>
      <c r="K57" t="s">
        <v>891</v>
      </c>
      <c r="L57">
        <v>1355</v>
      </c>
      <c r="N57">
        <v>1010</v>
      </c>
      <c r="O57" t="s">
        <v>429</v>
      </c>
      <c r="P57" t="s">
        <v>429</v>
      </c>
      <c r="Q57">
        <v>100</v>
      </c>
      <c r="X57">
        <v>4</v>
      </c>
      <c r="Y57">
        <v>50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4</v>
      </c>
      <c r="AH57">
        <v>2</v>
      </c>
      <c r="AI57">
        <v>39477453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ROW(Source!A36)</f>
        <v>36</v>
      </c>
      <c r="B58">
        <v>39477454</v>
      </c>
      <c r="C58">
        <v>39477447</v>
      </c>
      <c r="D58">
        <v>36838722</v>
      </c>
      <c r="E58">
        <v>1</v>
      </c>
      <c r="F58">
        <v>1</v>
      </c>
      <c r="G58">
        <v>1</v>
      </c>
      <c r="H58">
        <v>3</v>
      </c>
      <c r="I58" t="s">
        <v>892</v>
      </c>
      <c r="J58" t="s">
        <v>893</v>
      </c>
      <c r="K58" t="s">
        <v>894</v>
      </c>
      <c r="L58">
        <v>1354</v>
      </c>
      <c r="N58">
        <v>1010</v>
      </c>
      <c r="O58" t="s">
        <v>415</v>
      </c>
      <c r="P58" t="s">
        <v>415</v>
      </c>
      <c r="Q58">
        <v>1</v>
      </c>
      <c r="X58">
        <v>56.6</v>
      </c>
      <c r="Y58">
        <v>67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56.6</v>
      </c>
      <c r="AH58">
        <v>2</v>
      </c>
      <c r="AI58">
        <v>39477454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ROW(Source!A39)</f>
        <v>39</v>
      </c>
      <c r="B59">
        <v>39477457</v>
      </c>
      <c r="C59">
        <v>39477456</v>
      </c>
      <c r="D59">
        <v>37065248</v>
      </c>
      <c r="E59">
        <v>1</v>
      </c>
      <c r="F59">
        <v>1</v>
      </c>
      <c r="G59">
        <v>1</v>
      </c>
      <c r="H59">
        <v>1</v>
      </c>
      <c r="I59" t="s">
        <v>895</v>
      </c>
      <c r="J59" t="s">
        <v>3</v>
      </c>
      <c r="K59" t="s">
        <v>896</v>
      </c>
      <c r="L59">
        <v>1191</v>
      </c>
      <c r="N59">
        <v>1013</v>
      </c>
      <c r="O59" t="s">
        <v>796</v>
      </c>
      <c r="P59" t="s">
        <v>796</v>
      </c>
      <c r="Q59">
        <v>1</v>
      </c>
      <c r="X59">
        <v>112.75</v>
      </c>
      <c r="Y59">
        <v>0</v>
      </c>
      <c r="Z59">
        <v>0</v>
      </c>
      <c r="AA59">
        <v>0</v>
      </c>
      <c r="AB59">
        <v>8.5299999999999994</v>
      </c>
      <c r="AC59">
        <v>0</v>
      </c>
      <c r="AD59">
        <v>1</v>
      </c>
      <c r="AE59">
        <v>1</v>
      </c>
      <c r="AF59" t="s">
        <v>54</v>
      </c>
      <c r="AG59">
        <v>155.595</v>
      </c>
      <c r="AH59">
        <v>2</v>
      </c>
      <c r="AI59">
        <v>39477457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ROW(Source!A39)</f>
        <v>39</v>
      </c>
      <c r="B60">
        <v>39477458</v>
      </c>
      <c r="C60">
        <v>39477456</v>
      </c>
      <c r="D60">
        <v>37064876</v>
      </c>
      <c r="E60">
        <v>1</v>
      </c>
      <c r="F60">
        <v>1</v>
      </c>
      <c r="G60">
        <v>1</v>
      </c>
      <c r="H60">
        <v>1</v>
      </c>
      <c r="I60" t="s">
        <v>797</v>
      </c>
      <c r="J60" t="s">
        <v>3</v>
      </c>
      <c r="K60" t="s">
        <v>798</v>
      </c>
      <c r="L60">
        <v>1191</v>
      </c>
      <c r="N60">
        <v>1013</v>
      </c>
      <c r="O60" t="s">
        <v>796</v>
      </c>
      <c r="P60" t="s">
        <v>796</v>
      </c>
      <c r="Q60">
        <v>1</v>
      </c>
      <c r="X60">
        <v>0.27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53</v>
      </c>
      <c r="AG60">
        <v>0.40500000000000003</v>
      </c>
      <c r="AH60">
        <v>2</v>
      </c>
      <c r="AI60">
        <v>39477458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ROW(Source!A39)</f>
        <v>39</v>
      </c>
      <c r="B61">
        <v>39477459</v>
      </c>
      <c r="C61">
        <v>39477456</v>
      </c>
      <c r="D61">
        <v>36882057</v>
      </c>
      <c r="E61">
        <v>1</v>
      </c>
      <c r="F61">
        <v>1</v>
      </c>
      <c r="G61">
        <v>1</v>
      </c>
      <c r="H61">
        <v>2</v>
      </c>
      <c r="I61" t="s">
        <v>897</v>
      </c>
      <c r="J61" t="s">
        <v>898</v>
      </c>
      <c r="K61" t="s">
        <v>899</v>
      </c>
      <c r="L61">
        <v>1368</v>
      </c>
      <c r="N61">
        <v>1011</v>
      </c>
      <c r="O61" t="s">
        <v>802</v>
      </c>
      <c r="P61" t="s">
        <v>802</v>
      </c>
      <c r="Q61">
        <v>1</v>
      </c>
      <c r="X61">
        <v>0.2</v>
      </c>
      <c r="Y61">
        <v>0</v>
      </c>
      <c r="Z61">
        <v>86.4</v>
      </c>
      <c r="AA61">
        <v>13.5</v>
      </c>
      <c r="AB61">
        <v>0</v>
      </c>
      <c r="AC61">
        <v>0</v>
      </c>
      <c r="AD61">
        <v>1</v>
      </c>
      <c r="AE61">
        <v>0</v>
      </c>
      <c r="AF61" t="s">
        <v>53</v>
      </c>
      <c r="AG61">
        <v>0.3</v>
      </c>
      <c r="AH61">
        <v>2</v>
      </c>
      <c r="AI61">
        <v>39477459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ROW(Source!A39)</f>
        <v>39</v>
      </c>
      <c r="B62">
        <v>39477460</v>
      </c>
      <c r="C62">
        <v>39477456</v>
      </c>
      <c r="D62">
        <v>36883554</v>
      </c>
      <c r="E62">
        <v>1</v>
      </c>
      <c r="F62">
        <v>1</v>
      </c>
      <c r="G62">
        <v>1</v>
      </c>
      <c r="H62">
        <v>2</v>
      </c>
      <c r="I62" t="s">
        <v>834</v>
      </c>
      <c r="J62" t="s">
        <v>835</v>
      </c>
      <c r="K62" t="s">
        <v>836</v>
      </c>
      <c r="L62">
        <v>1368</v>
      </c>
      <c r="N62">
        <v>1011</v>
      </c>
      <c r="O62" t="s">
        <v>802</v>
      </c>
      <c r="P62" t="s">
        <v>802</v>
      </c>
      <c r="Q62">
        <v>1</v>
      </c>
      <c r="X62">
        <v>7.0000000000000007E-2</v>
      </c>
      <c r="Y62">
        <v>0</v>
      </c>
      <c r="Z62">
        <v>65.709999999999994</v>
      </c>
      <c r="AA62">
        <v>11.6</v>
      </c>
      <c r="AB62">
        <v>0</v>
      </c>
      <c r="AC62">
        <v>0</v>
      </c>
      <c r="AD62">
        <v>1</v>
      </c>
      <c r="AE62">
        <v>0</v>
      </c>
      <c r="AF62" t="s">
        <v>53</v>
      </c>
      <c r="AG62">
        <v>0.10500000000000001</v>
      </c>
      <c r="AH62">
        <v>2</v>
      </c>
      <c r="AI62">
        <v>39477460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ROW(Source!A39)</f>
        <v>39</v>
      </c>
      <c r="B63">
        <v>39477461</v>
      </c>
      <c r="C63">
        <v>39477456</v>
      </c>
      <c r="D63">
        <v>36804565</v>
      </c>
      <c r="E63">
        <v>1</v>
      </c>
      <c r="F63">
        <v>1</v>
      </c>
      <c r="G63">
        <v>1</v>
      </c>
      <c r="H63">
        <v>3</v>
      </c>
      <c r="I63" t="s">
        <v>900</v>
      </c>
      <c r="J63" t="s">
        <v>901</v>
      </c>
      <c r="K63" t="s">
        <v>902</v>
      </c>
      <c r="L63">
        <v>1348</v>
      </c>
      <c r="N63">
        <v>1009</v>
      </c>
      <c r="O63" t="s">
        <v>34</v>
      </c>
      <c r="P63" t="s">
        <v>34</v>
      </c>
      <c r="Q63">
        <v>1000</v>
      </c>
      <c r="X63">
        <v>4.0000000000000001E-3</v>
      </c>
      <c r="Y63">
        <v>8475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4.0000000000000001E-3</v>
      </c>
      <c r="AH63">
        <v>2</v>
      </c>
      <c r="AI63">
        <v>39477461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ROW(Source!A39)</f>
        <v>39</v>
      </c>
      <c r="B64">
        <v>39477462</v>
      </c>
      <c r="C64">
        <v>39477456</v>
      </c>
      <c r="D64">
        <v>36825633</v>
      </c>
      <c r="E64">
        <v>1</v>
      </c>
      <c r="F64">
        <v>1</v>
      </c>
      <c r="G64">
        <v>1</v>
      </c>
      <c r="H64">
        <v>3</v>
      </c>
      <c r="I64" t="s">
        <v>903</v>
      </c>
      <c r="J64" t="s">
        <v>904</v>
      </c>
      <c r="K64" t="s">
        <v>905</v>
      </c>
      <c r="L64">
        <v>1348</v>
      </c>
      <c r="N64">
        <v>1009</v>
      </c>
      <c r="O64" t="s">
        <v>34</v>
      </c>
      <c r="P64" t="s">
        <v>34</v>
      </c>
      <c r="Q64">
        <v>1000</v>
      </c>
      <c r="X64">
        <v>1.2E-2</v>
      </c>
      <c r="Y64">
        <v>8190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1.2E-2</v>
      </c>
      <c r="AH64">
        <v>2</v>
      </c>
      <c r="AI64">
        <v>39477462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ROW(Source!A39)</f>
        <v>39</v>
      </c>
      <c r="B65">
        <v>39477463</v>
      </c>
      <c r="C65">
        <v>39477456</v>
      </c>
      <c r="D65">
        <v>36825880</v>
      </c>
      <c r="E65">
        <v>1</v>
      </c>
      <c r="F65">
        <v>1</v>
      </c>
      <c r="G65">
        <v>1</v>
      </c>
      <c r="H65">
        <v>3</v>
      </c>
      <c r="I65" t="s">
        <v>906</v>
      </c>
      <c r="J65" t="s">
        <v>907</v>
      </c>
      <c r="K65" t="s">
        <v>908</v>
      </c>
      <c r="L65">
        <v>1348</v>
      </c>
      <c r="N65">
        <v>1009</v>
      </c>
      <c r="O65" t="s">
        <v>34</v>
      </c>
      <c r="P65" t="s">
        <v>34</v>
      </c>
      <c r="Q65">
        <v>1000</v>
      </c>
      <c r="X65">
        <v>0.78200000000000003</v>
      </c>
      <c r="Y65">
        <v>11200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0.78200000000000003</v>
      </c>
      <c r="AH65">
        <v>2</v>
      </c>
      <c r="AI65">
        <v>39477463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ROW(Source!A40)</f>
        <v>40</v>
      </c>
      <c r="B66">
        <v>39477465</v>
      </c>
      <c r="C66">
        <v>39477464</v>
      </c>
      <c r="D66">
        <v>37064978</v>
      </c>
      <c r="E66">
        <v>1</v>
      </c>
      <c r="F66">
        <v>1</v>
      </c>
      <c r="G66">
        <v>1</v>
      </c>
      <c r="H66">
        <v>1</v>
      </c>
      <c r="I66" t="s">
        <v>809</v>
      </c>
      <c r="J66" t="s">
        <v>3</v>
      </c>
      <c r="K66" t="s">
        <v>810</v>
      </c>
      <c r="L66">
        <v>1191</v>
      </c>
      <c r="N66">
        <v>1013</v>
      </c>
      <c r="O66" t="s">
        <v>796</v>
      </c>
      <c r="P66" t="s">
        <v>796</v>
      </c>
      <c r="Q66">
        <v>1</v>
      </c>
      <c r="X66">
        <v>201</v>
      </c>
      <c r="Y66">
        <v>0</v>
      </c>
      <c r="Z66">
        <v>0</v>
      </c>
      <c r="AA66">
        <v>0</v>
      </c>
      <c r="AB66">
        <v>8.86</v>
      </c>
      <c r="AC66">
        <v>0</v>
      </c>
      <c r="AD66">
        <v>1</v>
      </c>
      <c r="AE66">
        <v>1</v>
      </c>
      <c r="AF66" t="s">
        <v>54</v>
      </c>
      <c r="AG66">
        <v>277.37999999999994</v>
      </c>
      <c r="AH66">
        <v>2</v>
      </c>
      <c r="AI66">
        <v>39477465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ROW(Source!A40)</f>
        <v>40</v>
      </c>
      <c r="B67">
        <v>39477466</v>
      </c>
      <c r="C67">
        <v>39477464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797</v>
      </c>
      <c r="J67" t="s">
        <v>3</v>
      </c>
      <c r="K67" t="s">
        <v>798</v>
      </c>
      <c r="L67">
        <v>1191</v>
      </c>
      <c r="N67">
        <v>1013</v>
      </c>
      <c r="O67" t="s">
        <v>796</v>
      </c>
      <c r="P67" t="s">
        <v>796</v>
      </c>
      <c r="Q67">
        <v>1</v>
      </c>
      <c r="X67">
        <v>4.62</v>
      </c>
      <c r="Y67">
        <v>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2</v>
      </c>
      <c r="AF67" t="s">
        <v>53</v>
      </c>
      <c r="AG67">
        <v>6.9300000000000006</v>
      </c>
      <c r="AH67">
        <v>2</v>
      </c>
      <c r="AI67">
        <v>39477466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ROW(Source!A40)</f>
        <v>40</v>
      </c>
      <c r="B68">
        <v>39477467</v>
      </c>
      <c r="C68">
        <v>39477464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799</v>
      </c>
      <c r="J68" t="s">
        <v>800</v>
      </c>
      <c r="K68" t="s">
        <v>801</v>
      </c>
      <c r="L68">
        <v>1368</v>
      </c>
      <c r="N68">
        <v>1011</v>
      </c>
      <c r="O68" t="s">
        <v>802</v>
      </c>
      <c r="P68" t="s">
        <v>802</v>
      </c>
      <c r="Q68">
        <v>1</v>
      </c>
      <c r="X68">
        <v>1.05</v>
      </c>
      <c r="Y68">
        <v>0</v>
      </c>
      <c r="Z68">
        <v>31.26</v>
      </c>
      <c r="AA68">
        <v>13.5</v>
      </c>
      <c r="AB68">
        <v>0</v>
      </c>
      <c r="AC68">
        <v>0</v>
      </c>
      <c r="AD68">
        <v>1</v>
      </c>
      <c r="AE68">
        <v>0</v>
      </c>
      <c r="AF68" t="s">
        <v>53</v>
      </c>
      <c r="AG68">
        <v>1.575</v>
      </c>
      <c r="AH68">
        <v>2</v>
      </c>
      <c r="AI68">
        <v>39477467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ROW(Source!A40)</f>
        <v>40</v>
      </c>
      <c r="B69">
        <v>39477468</v>
      </c>
      <c r="C69">
        <v>39477464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834</v>
      </c>
      <c r="J69" t="s">
        <v>835</v>
      </c>
      <c r="K69" t="s">
        <v>836</v>
      </c>
      <c r="L69">
        <v>1368</v>
      </c>
      <c r="N69">
        <v>1011</v>
      </c>
      <c r="O69" t="s">
        <v>802</v>
      </c>
      <c r="P69" t="s">
        <v>802</v>
      </c>
      <c r="Q69">
        <v>1</v>
      </c>
      <c r="X69">
        <v>3.57</v>
      </c>
      <c r="Y69">
        <v>0</v>
      </c>
      <c r="Z69">
        <v>65.709999999999994</v>
      </c>
      <c r="AA69">
        <v>11.6</v>
      </c>
      <c r="AB69">
        <v>0</v>
      </c>
      <c r="AC69">
        <v>0</v>
      </c>
      <c r="AD69">
        <v>1</v>
      </c>
      <c r="AE69">
        <v>0</v>
      </c>
      <c r="AF69" t="s">
        <v>53</v>
      </c>
      <c r="AG69">
        <v>5.3549999999999995</v>
      </c>
      <c r="AH69">
        <v>2</v>
      </c>
      <c r="AI69">
        <v>39477468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ROW(Source!A40)</f>
        <v>40</v>
      </c>
      <c r="B70">
        <v>39477469</v>
      </c>
      <c r="C70">
        <v>39477464</v>
      </c>
      <c r="D70">
        <v>36802057</v>
      </c>
      <c r="E70">
        <v>1</v>
      </c>
      <c r="F70">
        <v>1</v>
      </c>
      <c r="G70">
        <v>1</v>
      </c>
      <c r="H70">
        <v>3</v>
      </c>
      <c r="I70" t="s">
        <v>877</v>
      </c>
      <c r="J70" t="s">
        <v>878</v>
      </c>
      <c r="K70" t="s">
        <v>879</v>
      </c>
      <c r="L70">
        <v>1301</v>
      </c>
      <c r="N70">
        <v>1003</v>
      </c>
      <c r="O70" t="s">
        <v>74</v>
      </c>
      <c r="P70" t="s">
        <v>74</v>
      </c>
      <c r="Q70">
        <v>1</v>
      </c>
      <c r="X70">
        <v>402</v>
      </c>
      <c r="Y70">
        <v>6.38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402</v>
      </c>
      <c r="AH70">
        <v>2</v>
      </c>
      <c r="AI70">
        <v>39477469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ROW(Source!A40)</f>
        <v>40</v>
      </c>
      <c r="B71">
        <v>39477470</v>
      </c>
      <c r="C71">
        <v>39477464</v>
      </c>
      <c r="D71">
        <v>36802058</v>
      </c>
      <c r="E71">
        <v>1</v>
      </c>
      <c r="F71">
        <v>1</v>
      </c>
      <c r="G71">
        <v>1</v>
      </c>
      <c r="H71">
        <v>3</v>
      </c>
      <c r="I71" t="s">
        <v>880</v>
      </c>
      <c r="J71" t="s">
        <v>881</v>
      </c>
      <c r="K71" t="s">
        <v>882</v>
      </c>
      <c r="L71">
        <v>1301</v>
      </c>
      <c r="N71">
        <v>1003</v>
      </c>
      <c r="O71" t="s">
        <v>74</v>
      </c>
      <c r="P71" t="s">
        <v>74</v>
      </c>
      <c r="Q71">
        <v>1</v>
      </c>
      <c r="X71">
        <v>43</v>
      </c>
      <c r="Y71">
        <v>7.95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43</v>
      </c>
      <c r="AH71">
        <v>2</v>
      </c>
      <c r="AI71">
        <v>39477470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ROW(Source!A40)</f>
        <v>40</v>
      </c>
      <c r="B72">
        <v>39477471</v>
      </c>
      <c r="C72">
        <v>39477464</v>
      </c>
      <c r="D72">
        <v>36802146</v>
      </c>
      <c r="E72">
        <v>1</v>
      </c>
      <c r="F72">
        <v>1</v>
      </c>
      <c r="G72">
        <v>1</v>
      </c>
      <c r="H72">
        <v>3</v>
      </c>
      <c r="I72" t="s">
        <v>883</v>
      </c>
      <c r="J72" t="s">
        <v>884</v>
      </c>
      <c r="K72" t="s">
        <v>885</v>
      </c>
      <c r="L72">
        <v>1302</v>
      </c>
      <c r="N72">
        <v>1003</v>
      </c>
      <c r="O72" t="s">
        <v>466</v>
      </c>
      <c r="P72" t="s">
        <v>466</v>
      </c>
      <c r="Q72">
        <v>10</v>
      </c>
      <c r="X72">
        <v>29.3</v>
      </c>
      <c r="Y72">
        <v>64.099999999999994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29.3</v>
      </c>
      <c r="AH72">
        <v>2</v>
      </c>
      <c r="AI72">
        <v>39477471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ROW(Source!A40)</f>
        <v>40</v>
      </c>
      <c r="B73">
        <v>39477472</v>
      </c>
      <c r="C73">
        <v>39477464</v>
      </c>
      <c r="D73">
        <v>36804571</v>
      </c>
      <c r="E73">
        <v>1</v>
      </c>
      <c r="F73">
        <v>1</v>
      </c>
      <c r="G73">
        <v>1</v>
      </c>
      <c r="H73">
        <v>3</v>
      </c>
      <c r="I73" t="s">
        <v>886</v>
      </c>
      <c r="J73" t="s">
        <v>887</v>
      </c>
      <c r="K73" t="s">
        <v>888</v>
      </c>
      <c r="L73">
        <v>1358</v>
      </c>
      <c r="N73">
        <v>1010</v>
      </c>
      <c r="O73" t="s">
        <v>160</v>
      </c>
      <c r="P73" t="s">
        <v>160</v>
      </c>
      <c r="Q73">
        <v>10</v>
      </c>
      <c r="X73">
        <v>65.2</v>
      </c>
      <c r="Y73">
        <v>7.03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65.2</v>
      </c>
      <c r="AH73">
        <v>2</v>
      </c>
      <c r="AI73">
        <v>39477472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ROW(Source!A40)</f>
        <v>40</v>
      </c>
      <c r="B74">
        <v>39477473</v>
      </c>
      <c r="C74">
        <v>39477464</v>
      </c>
      <c r="D74">
        <v>36797011</v>
      </c>
      <c r="E74">
        <v>17</v>
      </c>
      <c r="F74">
        <v>1</v>
      </c>
      <c r="G74">
        <v>1</v>
      </c>
      <c r="H74">
        <v>3</v>
      </c>
      <c r="I74" t="s">
        <v>95</v>
      </c>
      <c r="J74" t="s">
        <v>3</v>
      </c>
      <c r="K74" t="s">
        <v>96</v>
      </c>
      <c r="L74">
        <v>1327</v>
      </c>
      <c r="N74">
        <v>1005</v>
      </c>
      <c r="O74" t="s">
        <v>61</v>
      </c>
      <c r="P74" t="s">
        <v>61</v>
      </c>
      <c r="Q74">
        <v>1</v>
      </c>
      <c r="X74">
        <v>100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3</v>
      </c>
      <c r="AG74">
        <v>100</v>
      </c>
      <c r="AH74">
        <v>2</v>
      </c>
      <c r="AI74">
        <v>39477473</v>
      </c>
      <c r="AJ74">
        <v>75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ROW(Source!A40)</f>
        <v>40</v>
      </c>
      <c r="B75">
        <v>39477474</v>
      </c>
      <c r="C75">
        <v>39477464</v>
      </c>
      <c r="D75">
        <v>36832273</v>
      </c>
      <c r="E75">
        <v>1</v>
      </c>
      <c r="F75">
        <v>1</v>
      </c>
      <c r="G75">
        <v>1</v>
      </c>
      <c r="H75">
        <v>3</v>
      </c>
      <c r="I75" t="s">
        <v>889</v>
      </c>
      <c r="J75" t="s">
        <v>890</v>
      </c>
      <c r="K75" t="s">
        <v>891</v>
      </c>
      <c r="L75">
        <v>1355</v>
      </c>
      <c r="N75">
        <v>1010</v>
      </c>
      <c r="O75" t="s">
        <v>429</v>
      </c>
      <c r="P75" t="s">
        <v>429</v>
      </c>
      <c r="Q75">
        <v>100</v>
      </c>
      <c r="X75">
        <v>8</v>
      </c>
      <c r="Y75">
        <v>50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8</v>
      </c>
      <c r="AH75">
        <v>2</v>
      </c>
      <c r="AI75">
        <v>39477474</v>
      </c>
      <c r="AJ75">
        <v>76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ROW(Source!A40)</f>
        <v>40</v>
      </c>
      <c r="B76">
        <v>39477475</v>
      </c>
      <c r="C76">
        <v>39477464</v>
      </c>
      <c r="D76">
        <v>36838722</v>
      </c>
      <c r="E76">
        <v>1</v>
      </c>
      <c r="F76">
        <v>1</v>
      </c>
      <c r="G76">
        <v>1</v>
      </c>
      <c r="H76">
        <v>3</v>
      </c>
      <c r="I76" t="s">
        <v>892</v>
      </c>
      <c r="J76" t="s">
        <v>893</v>
      </c>
      <c r="K76" t="s">
        <v>894</v>
      </c>
      <c r="L76">
        <v>1354</v>
      </c>
      <c r="N76">
        <v>1010</v>
      </c>
      <c r="O76" t="s">
        <v>415</v>
      </c>
      <c r="P76" t="s">
        <v>415</v>
      </c>
      <c r="Q76">
        <v>1</v>
      </c>
      <c r="X76">
        <v>123.5</v>
      </c>
      <c r="Y76">
        <v>67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123.5</v>
      </c>
      <c r="AH76">
        <v>2</v>
      </c>
      <c r="AI76">
        <v>39477475</v>
      </c>
      <c r="AJ76">
        <v>77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ROW(Source!A43)</f>
        <v>43</v>
      </c>
      <c r="B77">
        <v>39477478</v>
      </c>
      <c r="C77">
        <v>39477477</v>
      </c>
      <c r="D77">
        <v>37066717</v>
      </c>
      <c r="E77">
        <v>1</v>
      </c>
      <c r="F77">
        <v>1</v>
      </c>
      <c r="G77">
        <v>1</v>
      </c>
      <c r="H77">
        <v>1</v>
      </c>
      <c r="I77" t="s">
        <v>909</v>
      </c>
      <c r="J77" t="s">
        <v>3</v>
      </c>
      <c r="K77" t="s">
        <v>910</v>
      </c>
      <c r="L77">
        <v>1191</v>
      </c>
      <c r="N77">
        <v>1013</v>
      </c>
      <c r="O77" t="s">
        <v>796</v>
      </c>
      <c r="P77" t="s">
        <v>796</v>
      </c>
      <c r="Q77">
        <v>1</v>
      </c>
      <c r="X77">
        <v>7.82</v>
      </c>
      <c r="Y77">
        <v>0</v>
      </c>
      <c r="Z77">
        <v>0</v>
      </c>
      <c r="AA77">
        <v>0</v>
      </c>
      <c r="AB77">
        <v>8.17</v>
      </c>
      <c r="AC77">
        <v>0</v>
      </c>
      <c r="AD77">
        <v>1</v>
      </c>
      <c r="AE77">
        <v>1</v>
      </c>
      <c r="AF77" t="s">
        <v>54</v>
      </c>
      <c r="AG77">
        <v>10.791600000000001</v>
      </c>
      <c r="AH77">
        <v>2</v>
      </c>
      <c r="AI77">
        <v>39477478</v>
      </c>
      <c r="AJ77">
        <v>78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ROW(Source!A43)</f>
        <v>43</v>
      </c>
      <c r="B78">
        <v>39477479</v>
      </c>
      <c r="C78">
        <v>39477477</v>
      </c>
      <c r="D78">
        <v>37064876</v>
      </c>
      <c r="E78">
        <v>1</v>
      </c>
      <c r="F78">
        <v>1</v>
      </c>
      <c r="G78">
        <v>1</v>
      </c>
      <c r="H78">
        <v>1</v>
      </c>
      <c r="I78" t="s">
        <v>797</v>
      </c>
      <c r="J78" t="s">
        <v>3</v>
      </c>
      <c r="K78" t="s">
        <v>798</v>
      </c>
      <c r="L78">
        <v>1191</v>
      </c>
      <c r="N78">
        <v>1013</v>
      </c>
      <c r="O78" t="s">
        <v>796</v>
      </c>
      <c r="P78" t="s">
        <v>796</v>
      </c>
      <c r="Q78">
        <v>1</v>
      </c>
      <c r="X78">
        <v>0.04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53</v>
      </c>
      <c r="AG78">
        <v>0.06</v>
      </c>
      <c r="AH78">
        <v>2</v>
      </c>
      <c r="AI78">
        <v>39477479</v>
      </c>
      <c r="AJ78">
        <v>79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ROW(Source!A43)</f>
        <v>43</v>
      </c>
      <c r="B79">
        <v>39477480</v>
      </c>
      <c r="C79">
        <v>39477477</v>
      </c>
      <c r="D79">
        <v>36883554</v>
      </c>
      <c r="E79">
        <v>1</v>
      </c>
      <c r="F79">
        <v>1</v>
      </c>
      <c r="G79">
        <v>1</v>
      </c>
      <c r="H79">
        <v>2</v>
      </c>
      <c r="I79" t="s">
        <v>834</v>
      </c>
      <c r="J79" t="s">
        <v>835</v>
      </c>
      <c r="K79" t="s">
        <v>836</v>
      </c>
      <c r="L79">
        <v>1368</v>
      </c>
      <c r="N79">
        <v>1011</v>
      </c>
      <c r="O79" t="s">
        <v>802</v>
      </c>
      <c r="P79" t="s">
        <v>802</v>
      </c>
      <c r="Q79">
        <v>1</v>
      </c>
      <c r="X79">
        <v>0.04</v>
      </c>
      <c r="Y79">
        <v>0</v>
      </c>
      <c r="Z79">
        <v>65.709999999999994</v>
      </c>
      <c r="AA79">
        <v>11.6</v>
      </c>
      <c r="AB79">
        <v>0</v>
      </c>
      <c r="AC79">
        <v>0</v>
      </c>
      <c r="AD79">
        <v>1</v>
      </c>
      <c r="AE79">
        <v>0</v>
      </c>
      <c r="AF79" t="s">
        <v>53</v>
      </c>
      <c r="AG79">
        <v>0.06</v>
      </c>
      <c r="AH79">
        <v>2</v>
      </c>
      <c r="AI79">
        <v>39477480</v>
      </c>
      <c r="AJ79">
        <v>80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ROW(Source!A43)</f>
        <v>43</v>
      </c>
      <c r="B80">
        <v>39477481</v>
      </c>
      <c r="C80">
        <v>39477477</v>
      </c>
      <c r="D80">
        <v>36804545</v>
      </c>
      <c r="E80">
        <v>1</v>
      </c>
      <c r="F80">
        <v>1</v>
      </c>
      <c r="G80">
        <v>1</v>
      </c>
      <c r="H80">
        <v>3</v>
      </c>
      <c r="I80" t="s">
        <v>846</v>
      </c>
      <c r="J80" t="s">
        <v>847</v>
      </c>
      <c r="K80" t="s">
        <v>848</v>
      </c>
      <c r="L80">
        <v>1348</v>
      </c>
      <c r="N80">
        <v>1009</v>
      </c>
      <c r="O80" t="s">
        <v>34</v>
      </c>
      <c r="P80" t="s">
        <v>34</v>
      </c>
      <c r="Q80">
        <v>1000</v>
      </c>
      <c r="X80">
        <v>7.1000000000000002E-4</v>
      </c>
      <c r="Y80">
        <v>11978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7.1000000000000002E-4</v>
      </c>
      <c r="AH80">
        <v>2</v>
      </c>
      <c r="AI80">
        <v>39477481</v>
      </c>
      <c r="AJ80">
        <v>81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ROW(Source!A43)</f>
        <v>43</v>
      </c>
      <c r="B81">
        <v>39477482</v>
      </c>
      <c r="C81">
        <v>39477477</v>
      </c>
      <c r="D81">
        <v>36796692</v>
      </c>
      <c r="E81">
        <v>17</v>
      </c>
      <c r="F81">
        <v>1</v>
      </c>
      <c r="G81">
        <v>1</v>
      </c>
      <c r="H81">
        <v>3</v>
      </c>
      <c r="I81" t="s">
        <v>106</v>
      </c>
      <c r="J81" t="s">
        <v>3</v>
      </c>
      <c r="K81" t="s">
        <v>107</v>
      </c>
      <c r="L81">
        <v>1301</v>
      </c>
      <c r="N81">
        <v>1003</v>
      </c>
      <c r="O81" t="s">
        <v>74</v>
      </c>
      <c r="P81" t="s">
        <v>74</v>
      </c>
      <c r="Q81">
        <v>1</v>
      </c>
      <c r="X81">
        <v>112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3</v>
      </c>
      <c r="AG81">
        <v>112</v>
      </c>
      <c r="AH81">
        <v>2</v>
      </c>
      <c r="AI81">
        <v>39477482</v>
      </c>
      <c r="AJ81">
        <v>82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ROW(Source!A46)</f>
        <v>46</v>
      </c>
      <c r="B82">
        <v>39477485</v>
      </c>
      <c r="C82">
        <v>39477484</v>
      </c>
      <c r="D82">
        <v>37064928</v>
      </c>
      <c r="E82">
        <v>1</v>
      </c>
      <c r="F82">
        <v>1</v>
      </c>
      <c r="G82">
        <v>1</v>
      </c>
      <c r="H82">
        <v>1</v>
      </c>
      <c r="I82" t="s">
        <v>911</v>
      </c>
      <c r="J82" t="s">
        <v>3</v>
      </c>
      <c r="K82" t="s">
        <v>912</v>
      </c>
      <c r="L82">
        <v>1191</v>
      </c>
      <c r="N82">
        <v>1013</v>
      </c>
      <c r="O82" t="s">
        <v>796</v>
      </c>
      <c r="P82" t="s">
        <v>796</v>
      </c>
      <c r="Q82">
        <v>1</v>
      </c>
      <c r="X82">
        <v>317.19</v>
      </c>
      <c r="Y82">
        <v>0</v>
      </c>
      <c r="Z82">
        <v>0</v>
      </c>
      <c r="AA82">
        <v>0</v>
      </c>
      <c r="AB82">
        <v>9.07</v>
      </c>
      <c r="AC82">
        <v>0</v>
      </c>
      <c r="AD82">
        <v>1</v>
      </c>
      <c r="AE82">
        <v>1</v>
      </c>
      <c r="AF82" t="s">
        <v>54</v>
      </c>
      <c r="AG82">
        <v>437.72219999999993</v>
      </c>
      <c r="AH82">
        <v>2</v>
      </c>
      <c r="AI82">
        <v>39477485</v>
      </c>
      <c r="AJ82">
        <v>84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ROW(Source!A46)</f>
        <v>46</v>
      </c>
      <c r="B83">
        <v>39477486</v>
      </c>
      <c r="C83">
        <v>39477484</v>
      </c>
      <c r="D83">
        <v>37064876</v>
      </c>
      <c r="E83">
        <v>1</v>
      </c>
      <c r="F83">
        <v>1</v>
      </c>
      <c r="G83">
        <v>1</v>
      </c>
      <c r="H83">
        <v>1</v>
      </c>
      <c r="I83" t="s">
        <v>797</v>
      </c>
      <c r="J83" t="s">
        <v>3</v>
      </c>
      <c r="K83" t="s">
        <v>798</v>
      </c>
      <c r="L83">
        <v>1191</v>
      </c>
      <c r="N83">
        <v>1013</v>
      </c>
      <c r="O83" t="s">
        <v>796</v>
      </c>
      <c r="P83" t="s">
        <v>796</v>
      </c>
      <c r="Q83">
        <v>1</v>
      </c>
      <c r="X83">
        <v>2.2599999999999998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2</v>
      </c>
      <c r="AF83" t="s">
        <v>53</v>
      </c>
      <c r="AG83">
        <v>3.3899999999999997</v>
      </c>
      <c r="AH83">
        <v>2</v>
      </c>
      <c r="AI83">
        <v>39477486</v>
      </c>
      <c r="AJ83">
        <v>85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ROW(Source!A46)</f>
        <v>46</v>
      </c>
      <c r="B84">
        <v>39477487</v>
      </c>
      <c r="C84">
        <v>39477484</v>
      </c>
      <c r="D84">
        <v>36882159</v>
      </c>
      <c r="E84">
        <v>1</v>
      </c>
      <c r="F84">
        <v>1</v>
      </c>
      <c r="G84">
        <v>1</v>
      </c>
      <c r="H84">
        <v>2</v>
      </c>
      <c r="I84" t="s">
        <v>825</v>
      </c>
      <c r="J84" t="s">
        <v>826</v>
      </c>
      <c r="K84" t="s">
        <v>827</v>
      </c>
      <c r="L84">
        <v>1368</v>
      </c>
      <c r="N84">
        <v>1011</v>
      </c>
      <c r="O84" t="s">
        <v>802</v>
      </c>
      <c r="P84" t="s">
        <v>802</v>
      </c>
      <c r="Q84">
        <v>1</v>
      </c>
      <c r="X84">
        <v>0.9</v>
      </c>
      <c r="Y84">
        <v>0</v>
      </c>
      <c r="Z84">
        <v>111.99</v>
      </c>
      <c r="AA84">
        <v>13.5</v>
      </c>
      <c r="AB84">
        <v>0</v>
      </c>
      <c r="AC84">
        <v>0</v>
      </c>
      <c r="AD84">
        <v>1</v>
      </c>
      <c r="AE84">
        <v>0</v>
      </c>
      <c r="AF84" t="s">
        <v>53</v>
      </c>
      <c r="AG84">
        <v>1.3499999999999999</v>
      </c>
      <c r="AH84">
        <v>2</v>
      </c>
      <c r="AI84">
        <v>39477487</v>
      </c>
      <c r="AJ84">
        <v>86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ROW(Source!A46)</f>
        <v>46</v>
      </c>
      <c r="B85">
        <v>39477488</v>
      </c>
      <c r="C85">
        <v>39477484</v>
      </c>
      <c r="D85">
        <v>36883554</v>
      </c>
      <c r="E85">
        <v>1</v>
      </c>
      <c r="F85">
        <v>1</v>
      </c>
      <c r="G85">
        <v>1</v>
      </c>
      <c r="H85">
        <v>2</v>
      </c>
      <c r="I85" t="s">
        <v>834</v>
      </c>
      <c r="J85" t="s">
        <v>835</v>
      </c>
      <c r="K85" t="s">
        <v>836</v>
      </c>
      <c r="L85">
        <v>1368</v>
      </c>
      <c r="N85">
        <v>1011</v>
      </c>
      <c r="O85" t="s">
        <v>802</v>
      </c>
      <c r="P85" t="s">
        <v>802</v>
      </c>
      <c r="Q85">
        <v>1</v>
      </c>
      <c r="X85">
        <v>1.36</v>
      </c>
      <c r="Y85">
        <v>0</v>
      </c>
      <c r="Z85">
        <v>65.709999999999994</v>
      </c>
      <c r="AA85">
        <v>11.6</v>
      </c>
      <c r="AB85">
        <v>0</v>
      </c>
      <c r="AC85">
        <v>0</v>
      </c>
      <c r="AD85">
        <v>1</v>
      </c>
      <c r="AE85">
        <v>0</v>
      </c>
      <c r="AF85" t="s">
        <v>53</v>
      </c>
      <c r="AG85">
        <v>2.04</v>
      </c>
      <c r="AH85">
        <v>2</v>
      </c>
      <c r="AI85">
        <v>39477488</v>
      </c>
      <c r="AJ85">
        <v>87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ROW(Source!A46)</f>
        <v>46</v>
      </c>
      <c r="B86">
        <v>39477489</v>
      </c>
      <c r="C86">
        <v>39477484</v>
      </c>
      <c r="D86">
        <v>36797095</v>
      </c>
      <c r="E86">
        <v>17</v>
      </c>
      <c r="F86">
        <v>1</v>
      </c>
      <c r="G86">
        <v>1</v>
      </c>
      <c r="H86">
        <v>3</v>
      </c>
      <c r="I86" t="s">
        <v>117</v>
      </c>
      <c r="J86" t="s">
        <v>3</v>
      </c>
      <c r="K86" t="s">
        <v>118</v>
      </c>
      <c r="L86">
        <v>1327</v>
      </c>
      <c r="N86">
        <v>1005</v>
      </c>
      <c r="O86" t="s">
        <v>61</v>
      </c>
      <c r="P86" t="s">
        <v>61</v>
      </c>
      <c r="Q86">
        <v>1</v>
      </c>
      <c r="X86">
        <v>420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3</v>
      </c>
      <c r="AG86">
        <v>420</v>
      </c>
      <c r="AH86">
        <v>2</v>
      </c>
      <c r="AI86">
        <v>39477489</v>
      </c>
      <c r="AJ86">
        <v>88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ROW(Source!A46)</f>
        <v>46</v>
      </c>
      <c r="B87">
        <v>39477490</v>
      </c>
      <c r="C87">
        <v>39477484</v>
      </c>
      <c r="D87">
        <v>36802225</v>
      </c>
      <c r="E87">
        <v>1</v>
      </c>
      <c r="F87">
        <v>1</v>
      </c>
      <c r="G87">
        <v>1</v>
      </c>
      <c r="H87">
        <v>3</v>
      </c>
      <c r="I87" t="s">
        <v>913</v>
      </c>
      <c r="J87" t="s">
        <v>914</v>
      </c>
      <c r="K87" t="s">
        <v>915</v>
      </c>
      <c r="L87">
        <v>1346</v>
      </c>
      <c r="N87">
        <v>1009</v>
      </c>
      <c r="O87" t="s">
        <v>217</v>
      </c>
      <c r="P87" t="s">
        <v>217</v>
      </c>
      <c r="Q87">
        <v>1</v>
      </c>
      <c r="X87">
        <v>10</v>
      </c>
      <c r="Y87">
        <v>16.600000000000001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10</v>
      </c>
      <c r="AH87">
        <v>2</v>
      </c>
      <c r="AI87">
        <v>39477490</v>
      </c>
      <c r="AJ87">
        <v>90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ROW(Source!A46)</f>
        <v>46</v>
      </c>
      <c r="B88">
        <v>39477491</v>
      </c>
      <c r="C88">
        <v>39477484</v>
      </c>
      <c r="D88">
        <v>36802293</v>
      </c>
      <c r="E88">
        <v>1</v>
      </c>
      <c r="F88">
        <v>1</v>
      </c>
      <c r="G88">
        <v>1</v>
      </c>
      <c r="H88">
        <v>3</v>
      </c>
      <c r="I88" t="s">
        <v>916</v>
      </c>
      <c r="J88" t="s">
        <v>917</v>
      </c>
      <c r="K88" t="s">
        <v>918</v>
      </c>
      <c r="L88">
        <v>1356</v>
      </c>
      <c r="N88">
        <v>1010</v>
      </c>
      <c r="O88" t="s">
        <v>259</v>
      </c>
      <c r="P88" t="s">
        <v>259</v>
      </c>
      <c r="Q88">
        <v>1000</v>
      </c>
      <c r="X88">
        <v>0.14000000000000001</v>
      </c>
      <c r="Y88">
        <v>253.8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0.14000000000000001</v>
      </c>
      <c r="AH88">
        <v>2</v>
      </c>
      <c r="AI88">
        <v>39477491</v>
      </c>
      <c r="AJ88">
        <v>91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ROW(Source!A46)</f>
        <v>46</v>
      </c>
      <c r="B89">
        <v>39477492</v>
      </c>
      <c r="C89">
        <v>39477484</v>
      </c>
      <c r="D89">
        <v>36804488</v>
      </c>
      <c r="E89">
        <v>1</v>
      </c>
      <c r="F89">
        <v>1</v>
      </c>
      <c r="G89">
        <v>1</v>
      </c>
      <c r="H89">
        <v>3</v>
      </c>
      <c r="I89" t="s">
        <v>919</v>
      </c>
      <c r="J89" t="s">
        <v>920</v>
      </c>
      <c r="K89" t="s">
        <v>921</v>
      </c>
      <c r="L89">
        <v>1348</v>
      </c>
      <c r="N89">
        <v>1009</v>
      </c>
      <c r="O89" t="s">
        <v>34</v>
      </c>
      <c r="P89" t="s">
        <v>34</v>
      </c>
      <c r="Q89">
        <v>1000</v>
      </c>
      <c r="X89">
        <v>8.8999999999999999E-3</v>
      </c>
      <c r="Y89">
        <v>35011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8.8999999999999999E-3</v>
      </c>
      <c r="AH89">
        <v>2</v>
      </c>
      <c r="AI89">
        <v>39477492</v>
      </c>
      <c r="AJ89">
        <v>92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ROW(Source!A46)</f>
        <v>46</v>
      </c>
      <c r="B90">
        <v>39477493</v>
      </c>
      <c r="C90">
        <v>39477484</v>
      </c>
      <c r="D90">
        <v>36804596</v>
      </c>
      <c r="E90">
        <v>1</v>
      </c>
      <c r="F90">
        <v>1</v>
      </c>
      <c r="G90">
        <v>1</v>
      </c>
      <c r="H90">
        <v>3</v>
      </c>
      <c r="I90" t="s">
        <v>922</v>
      </c>
      <c r="J90" t="s">
        <v>923</v>
      </c>
      <c r="K90" t="s">
        <v>924</v>
      </c>
      <c r="L90">
        <v>1348</v>
      </c>
      <c r="N90">
        <v>1009</v>
      </c>
      <c r="O90" t="s">
        <v>34</v>
      </c>
      <c r="P90" t="s">
        <v>34</v>
      </c>
      <c r="Q90">
        <v>1000</v>
      </c>
      <c r="X90">
        <v>1.1999999999999999E-3</v>
      </c>
      <c r="Y90">
        <v>22558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1.1999999999999999E-3</v>
      </c>
      <c r="AH90">
        <v>2</v>
      </c>
      <c r="AI90">
        <v>39477493</v>
      </c>
      <c r="AJ90">
        <v>93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ROW(Source!A46)</f>
        <v>46</v>
      </c>
      <c r="B91">
        <v>39477494</v>
      </c>
      <c r="C91">
        <v>39477484</v>
      </c>
      <c r="D91">
        <v>36805320</v>
      </c>
      <c r="E91">
        <v>1</v>
      </c>
      <c r="F91">
        <v>1</v>
      </c>
      <c r="G91">
        <v>1</v>
      </c>
      <c r="H91">
        <v>3</v>
      </c>
      <c r="I91" t="s">
        <v>925</v>
      </c>
      <c r="J91" t="s">
        <v>926</v>
      </c>
      <c r="K91" t="s">
        <v>927</v>
      </c>
      <c r="L91">
        <v>1346</v>
      </c>
      <c r="N91">
        <v>1009</v>
      </c>
      <c r="O91" t="s">
        <v>217</v>
      </c>
      <c r="P91" t="s">
        <v>217</v>
      </c>
      <c r="Q91">
        <v>1</v>
      </c>
      <c r="X91">
        <v>10</v>
      </c>
      <c r="Y91">
        <v>51.98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10</v>
      </c>
      <c r="AH91">
        <v>2</v>
      </c>
      <c r="AI91">
        <v>39477494</v>
      </c>
      <c r="AJ91">
        <v>94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ROW(Source!A46)</f>
        <v>46</v>
      </c>
      <c r="B92">
        <v>39477495</v>
      </c>
      <c r="C92">
        <v>39477484</v>
      </c>
      <c r="D92">
        <v>36805533</v>
      </c>
      <c r="E92">
        <v>1</v>
      </c>
      <c r="F92">
        <v>1</v>
      </c>
      <c r="G92">
        <v>1</v>
      </c>
      <c r="H92">
        <v>3</v>
      </c>
      <c r="I92" t="s">
        <v>928</v>
      </c>
      <c r="J92" t="s">
        <v>929</v>
      </c>
      <c r="K92" t="s">
        <v>930</v>
      </c>
      <c r="L92">
        <v>1302</v>
      </c>
      <c r="N92">
        <v>1003</v>
      </c>
      <c r="O92" t="s">
        <v>466</v>
      </c>
      <c r="P92" t="s">
        <v>466</v>
      </c>
      <c r="Q92">
        <v>10</v>
      </c>
      <c r="X92">
        <v>1.27</v>
      </c>
      <c r="Y92">
        <v>73.650000000000006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1.27</v>
      </c>
      <c r="AH92">
        <v>2</v>
      </c>
      <c r="AI92">
        <v>39477495</v>
      </c>
      <c r="AJ92">
        <v>95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ROW(Source!A46)</f>
        <v>46</v>
      </c>
      <c r="B93">
        <v>39477496</v>
      </c>
      <c r="C93">
        <v>39477484</v>
      </c>
      <c r="D93">
        <v>36806488</v>
      </c>
      <c r="E93">
        <v>1</v>
      </c>
      <c r="F93">
        <v>1</v>
      </c>
      <c r="G93">
        <v>1</v>
      </c>
      <c r="H93">
        <v>3</v>
      </c>
      <c r="I93" t="s">
        <v>931</v>
      </c>
      <c r="J93" t="s">
        <v>932</v>
      </c>
      <c r="K93" t="s">
        <v>933</v>
      </c>
      <c r="L93">
        <v>1348</v>
      </c>
      <c r="N93">
        <v>1009</v>
      </c>
      <c r="O93" t="s">
        <v>34</v>
      </c>
      <c r="P93" t="s">
        <v>34</v>
      </c>
      <c r="Q93">
        <v>1000</v>
      </c>
      <c r="X93">
        <v>7.4999999999999997E-3</v>
      </c>
      <c r="Y93">
        <v>729.98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7.4999999999999997E-3</v>
      </c>
      <c r="AH93">
        <v>2</v>
      </c>
      <c r="AI93">
        <v>39477496</v>
      </c>
      <c r="AJ93">
        <v>96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ROW(Source!A46)</f>
        <v>46</v>
      </c>
      <c r="B94">
        <v>39477497</v>
      </c>
      <c r="C94">
        <v>39477484</v>
      </c>
      <c r="D94">
        <v>36826335</v>
      </c>
      <c r="E94">
        <v>1</v>
      </c>
      <c r="F94">
        <v>1</v>
      </c>
      <c r="G94">
        <v>1</v>
      </c>
      <c r="H94">
        <v>3</v>
      </c>
      <c r="I94" t="s">
        <v>934</v>
      </c>
      <c r="J94" t="s">
        <v>935</v>
      </c>
      <c r="K94" t="s">
        <v>936</v>
      </c>
      <c r="L94">
        <v>1348</v>
      </c>
      <c r="N94">
        <v>1009</v>
      </c>
      <c r="O94" t="s">
        <v>34</v>
      </c>
      <c r="P94" t="s">
        <v>34</v>
      </c>
      <c r="Q94">
        <v>1000</v>
      </c>
      <c r="X94">
        <v>3.6999999999999998E-2</v>
      </c>
      <c r="Y94">
        <v>16147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3.6999999999999998E-2</v>
      </c>
      <c r="AH94">
        <v>2</v>
      </c>
      <c r="AI94">
        <v>39477497</v>
      </c>
      <c r="AJ94">
        <v>97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ROW(Source!A46)</f>
        <v>46</v>
      </c>
      <c r="B95">
        <v>39477498</v>
      </c>
      <c r="C95">
        <v>39477484</v>
      </c>
      <c r="D95">
        <v>36826336</v>
      </c>
      <c r="E95">
        <v>1</v>
      </c>
      <c r="F95">
        <v>1</v>
      </c>
      <c r="G95">
        <v>1</v>
      </c>
      <c r="H95">
        <v>3</v>
      </c>
      <c r="I95" t="s">
        <v>937</v>
      </c>
      <c r="J95" t="s">
        <v>938</v>
      </c>
      <c r="K95" t="s">
        <v>939</v>
      </c>
      <c r="L95">
        <v>1348</v>
      </c>
      <c r="N95">
        <v>1009</v>
      </c>
      <c r="O95" t="s">
        <v>34</v>
      </c>
      <c r="P95" t="s">
        <v>34</v>
      </c>
      <c r="Q95">
        <v>1000</v>
      </c>
      <c r="X95">
        <v>0.10100000000000001</v>
      </c>
      <c r="Y95">
        <v>16147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0.10100000000000001</v>
      </c>
      <c r="AH95">
        <v>2</v>
      </c>
      <c r="AI95">
        <v>39477498</v>
      </c>
      <c r="AJ95">
        <v>98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ROW(Source!A46)</f>
        <v>46</v>
      </c>
      <c r="B96">
        <v>39477499</v>
      </c>
      <c r="C96">
        <v>39477484</v>
      </c>
      <c r="D96">
        <v>36836983</v>
      </c>
      <c r="E96">
        <v>1</v>
      </c>
      <c r="F96">
        <v>1</v>
      </c>
      <c r="G96">
        <v>1</v>
      </c>
      <c r="H96">
        <v>3</v>
      </c>
      <c r="I96" t="s">
        <v>940</v>
      </c>
      <c r="J96" t="s">
        <v>941</v>
      </c>
      <c r="K96" t="s">
        <v>942</v>
      </c>
      <c r="L96">
        <v>1346</v>
      </c>
      <c r="N96">
        <v>1009</v>
      </c>
      <c r="O96" t="s">
        <v>217</v>
      </c>
      <c r="P96" t="s">
        <v>217</v>
      </c>
      <c r="Q96">
        <v>1</v>
      </c>
      <c r="X96">
        <v>4</v>
      </c>
      <c r="Y96">
        <v>8.09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4</v>
      </c>
      <c r="AH96">
        <v>2</v>
      </c>
      <c r="AI96">
        <v>39477499</v>
      </c>
      <c r="AJ96">
        <v>99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ROW(Source!A46)</f>
        <v>46</v>
      </c>
      <c r="B97">
        <v>39477500</v>
      </c>
      <c r="C97">
        <v>39477484</v>
      </c>
      <c r="D97">
        <v>36836997</v>
      </c>
      <c r="E97">
        <v>1</v>
      </c>
      <c r="F97">
        <v>1</v>
      </c>
      <c r="G97">
        <v>1</v>
      </c>
      <c r="H97">
        <v>3</v>
      </c>
      <c r="I97" t="s">
        <v>943</v>
      </c>
      <c r="J97" t="s">
        <v>944</v>
      </c>
      <c r="K97" t="s">
        <v>945</v>
      </c>
      <c r="L97">
        <v>1346</v>
      </c>
      <c r="N97">
        <v>1009</v>
      </c>
      <c r="O97" t="s">
        <v>217</v>
      </c>
      <c r="P97" t="s">
        <v>217</v>
      </c>
      <c r="Q97">
        <v>1</v>
      </c>
      <c r="X97">
        <v>1</v>
      </c>
      <c r="Y97">
        <v>45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1</v>
      </c>
      <c r="AH97">
        <v>2</v>
      </c>
      <c r="AI97">
        <v>39477500</v>
      </c>
      <c r="AJ97">
        <v>100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ROW(Source!A46)</f>
        <v>46</v>
      </c>
      <c r="B98">
        <v>39477501</v>
      </c>
      <c r="C98">
        <v>39477484</v>
      </c>
      <c r="D98">
        <v>36838890</v>
      </c>
      <c r="E98">
        <v>1</v>
      </c>
      <c r="F98">
        <v>1</v>
      </c>
      <c r="G98">
        <v>1</v>
      </c>
      <c r="H98">
        <v>3</v>
      </c>
      <c r="I98" t="s">
        <v>946</v>
      </c>
      <c r="J98" t="s">
        <v>947</v>
      </c>
      <c r="K98" t="s">
        <v>948</v>
      </c>
      <c r="L98">
        <v>1348</v>
      </c>
      <c r="N98">
        <v>1009</v>
      </c>
      <c r="O98" t="s">
        <v>34</v>
      </c>
      <c r="P98" t="s">
        <v>34</v>
      </c>
      <c r="Q98">
        <v>1000</v>
      </c>
      <c r="X98">
        <v>3.6999999999999998E-2</v>
      </c>
      <c r="Y98">
        <v>17183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3.6999999999999998E-2</v>
      </c>
      <c r="AH98">
        <v>2</v>
      </c>
      <c r="AI98">
        <v>39477501</v>
      </c>
      <c r="AJ98">
        <v>101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ROW(Source!A49)</f>
        <v>49</v>
      </c>
      <c r="B99">
        <v>39477525</v>
      </c>
      <c r="C99">
        <v>39477524</v>
      </c>
      <c r="D99">
        <v>37072767</v>
      </c>
      <c r="E99">
        <v>1</v>
      </c>
      <c r="F99">
        <v>1</v>
      </c>
      <c r="G99">
        <v>1</v>
      </c>
      <c r="H99">
        <v>1</v>
      </c>
      <c r="I99" t="s">
        <v>949</v>
      </c>
      <c r="J99" t="s">
        <v>3</v>
      </c>
      <c r="K99" t="s">
        <v>950</v>
      </c>
      <c r="L99">
        <v>1191</v>
      </c>
      <c r="N99">
        <v>1013</v>
      </c>
      <c r="O99" t="s">
        <v>796</v>
      </c>
      <c r="P99" t="s">
        <v>796</v>
      </c>
      <c r="Q99">
        <v>1</v>
      </c>
      <c r="X99">
        <v>228</v>
      </c>
      <c r="Y99">
        <v>0</v>
      </c>
      <c r="Z99">
        <v>0</v>
      </c>
      <c r="AA99">
        <v>0</v>
      </c>
      <c r="AB99">
        <v>9.18</v>
      </c>
      <c r="AC99">
        <v>0</v>
      </c>
      <c r="AD99">
        <v>1</v>
      </c>
      <c r="AE99">
        <v>1</v>
      </c>
      <c r="AF99" t="s">
        <v>54</v>
      </c>
      <c r="AG99">
        <v>314.64</v>
      </c>
      <c r="AH99">
        <v>2</v>
      </c>
      <c r="AI99">
        <v>39477525</v>
      </c>
      <c r="AJ99">
        <v>102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ROW(Source!A49)</f>
        <v>49</v>
      </c>
      <c r="B100">
        <v>39477526</v>
      </c>
      <c r="C100">
        <v>39477524</v>
      </c>
      <c r="D100">
        <v>37064876</v>
      </c>
      <c r="E100">
        <v>1</v>
      </c>
      <c r="F100">
        <v>1</v>
      </c>
      <c r="G100">
        <v>1</v>
      </c>
      <c r="H100">
        <v>1</v>
      </c>
      <c r="I100" t="s">
        <v>797</v>
      </c>
      <c r="J100" t="s">
        <v>3</v>
      </c>
      <c r="K100" t="s">
        <v>798</v>
      </c>
      <c r="L100">
        <v>1191</v>
      </c>
      <c r="N100">
        <v>1013</v>
      </c>
      <c r="O100" t="s">
        <v>796</v>
      </c>
      <c r="P100" t="s">
        <v>796</v>
      </c>
      <c r="Q100">
        <v>1</v>
      </c>
      <c r="X100">
        <v>0.86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2</v>
      </c>
      <c r="AF100" t="s">
        <v>53</v>
      </c>
      <c r="AG100">
        <v>1.2899999999999998</v>
      </c>
      <c r="AH100">
        <v>2</v>
      </c>
      <c r="AI100">
        <v>39477526</v>
      </c>
      <c r="AJ100">
        <v>103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ROW(Source!A49)</f>
        <v>49</v>
      </c>
      <c r="B101">
        <v>39477527</v>
      </c>
      <c r="C101">
        <v>39477524</v>
      </c>
      <c r="D101">
        <v>36882383</v>
      </c>
      <c r="E101">
        <v>1</v>
      </c>
      <c r="F101">
        <v>1</v>
      </c>
      <c r="G101">
        <v>1</v>
      </c>
      <c r="H101">
        <v>2</v>
      </c>
      <c r="I101" t="s">
        <v>951</v>
      </c>
      <c r="J101" t="s">
        <v>952</v>
      </c>
      <c r="K101" t="s">
        <v>953</v>
      </c>
      <c r="L101">
        <v>1368</v>
      </c>
      <c r="N101">
        <v>1011</v>
      </c>
      <c r="O101" t="s">
        <v>802</v>
      </c>
      <c r="P101" t="s">
        <v>802</v>
      </c>
      <c r="Q101">
        <v>1</v>
      </c>
      <c r="X101">
        <v>0.05</v>
      </c>
      <c r="Y101">
        <v>0</v>
      </c>
      <c r="Z101">
        <v>89.99</v>
      </c>
      <c r="AA101">
        <v>10.06</v>
      </c>
      <c r="AB101">
        <v>0</v>
      </c>
      <c r="AC101">
        <v>0</v>
      </c>
      <c r="AD101">
        <v>1</v>
      </c>
      <c r="AE101">
        <v>0</v>
      </c>
      <c r="AF101" t="s">
        <v>53</v>
      </c>
      <c r="AG101">
        <v>7.4999999999999997E-2</v>
      </c>
      <c r="AH101">
        <v>2</v>
      </c>
      <c r="AI101">
        <v>39477527</v>
      </c>
      <c r="AJ101">
        <v>104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ROW(Source!A49)</f>
        <v>49</v>
      </c>
      <c r="B102">
        <v>39477528</v>
      </c>
      <c r="C102">
        <v>39477524</v>
      </c>
      <c r="D102">
        <v>36882452</v>
      </c>
      <c r="E102">
        <v>1</v>
      </c>
      <c r="F102">
        <v>1</v>
      </c>
      <c r="G102">
        <v>1</v>
      </c>
      <c r="H102">
        <v>2</v>
      </c>
      <c r="I102" t="s">
        <v>799</v>
      </c>
      <c r="J102" t="s">
        <v>800</v>
      </c>
      <c r="K102" t="s">
        <v>801</v>
      </c>
      <c r="L102">
        <v>1368</v>
      </c>
      <c r="N102">
        <v>1011</v>
      </c>
      <c r="O102" t="s">
        <v>802</v>
      </c>
      <c r="P102" t="s">
        <v>802</v>
      </c>
      <c r="Q102">
        <v>1</v>
      </c>
      <c r="X102">
        <v>0.81</v>
      </c>
      <c r="Y102">
        <v>0</v>
      </c>
      <c r="Z102">
        <v>31.26</v>
      </c>
      <c r="AA102">
        <v>13.5</v>
      </c>
      <c r="AB102">
        <v>0</v>
      </c>
      <c r="AC102">
        <v>0</v>
      </c>
      <c r="AD102">
        <v>1</v>
      </c>
      <c r="AE102">
        <v>0</v>
      </c>
      <c r="AF102" t="s">
        <v>53</v>
      </c>
      <c r="AG102">
        <v>1.2150000000000001</v>
      </c>
      <c r="AH102">
        <v>2</v>
      </c>
      <c r="AI102">
        <v>39477528</v>
      </c>
      <c r="AJ102">
        <v>105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ROW(Source!A49)</f>
        <v>49</v>
      </c>
      <c r="B103">
        <v>39477529</v>
      </c>
      <c r="C103">
        <v>39477524</v>
      </c>
      <c r="D103">
        <v>36801792</v>
      </c>
      <c r="E103">
        <v>1</v>
      </c>
      <c r="F103">
        <v>1</v>
      </c>
      <c r="G103">
        <v>1</v>
      </c>
      <c r="H103">
        <v>3</v>
      </c>
      <c r="I103" t="s">
        <v>954</v>
      </c>
      <c r="J103" t="s">
        <v>955</v>
      </c>
      <c r="K103" t="s">
        <v>956</v>
      </c>
      <c r="L103">
        <v>1339</v>
      </c>
      <c r="N103">
        <v>1007</v>
      </c>
      <c r="O103" t="s">
        <v>25</v>
      </c>
      <c r="P103" t="s">
        <v>25</v>
      </c>
      <c r="Q103">
        <v>1</v>
      </c>
      <c r="X103">
        <v>0.46500000000000002</v>
      </c>
      <c r="Y103">
        <v>2.44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0.46500000000000002</v>
      </c>
      <c r="AH103">
        <v>2</v>
      </c>
      <c r="AI103">
        <v>39477529</v>
      </c>
      <c r="AJ103">
        <v>106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ROW(Source!A49)</f>
        <v>49</v>
      </c>
      <c r="B104">
        <v>39477530</v>
      </c>
      <c r="C104">
        <v>39477524</v>
      </c>
      <c r="D104">
        <v>36802468</v>
      </c>
      <c r="E104">
        <v>1</v>
      </c>
      <c r="F104">
        <v>1</v>
      </c>
      <c r="G104">
        <v>1</v>
      </c>
      <c r="H104">
        <v>3</v>
      </c>
      <c r="I104" t="s">
        <v>957</v>
      </c>
      <c r="J104" t="s">
        <v>958</v>
      </c>
      <c r="K104" t="s">
        <v>959</v>
      </c>
      <c r="L104">
        <v>1339</v>
      </c>
      <c r="N104">
        <v>1007</v>
      </c>
      <c r="O104" t="s">
        <v>25</v>
      </c>
      <c r="P104" t="s">
        <v>25</v>
      </c>
      <c r="Q104">
        <v>1</v>
      </c>
      <c r="X104">
        <v>0.1</v>
      </c>
      <c r="Y104">
        <v>34.92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0.1</v>
      </c>
      <c r="AH104">
        <v>2</v>
      </c>
      <c r="AI104">
        <v>39477530</v>
      </c>
      <c r="AJ104">
        <v>107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ROW(Source!A49)</f>
        <v>49</v>
      </c>
      <c r="B105">
        <v>39477531</v>
      </c>
      <c r="C105">
        <v>39477524</v>
      </c>
      <c r="D105">
        <v>36805524</v>
      </c>
      <c r="E105">
        <v>1</v>
      </c>
      <c r="F105">
        <v>1</v>
      </c>
      <c r="G105">
        <v>1</v>
      </c>
      <c r="H105">
        <v>3</v>
      </c>
      <c r="I105" t="s">
        <v>960</v>
      </c>
      <c r="J105" t="s">
        <v>961</v>
      </c>
      <c r="K105" t="s">
        <v>962</v>
      </c>
      <c r="L105">
        <v>1346</v>
      </c>
      <c r="N105">
        <v>1009</v>
      </c>
      <c r="O105" t="s">
        <v>217</v>
      </c>
      <c r="P105" t="s">
        <v>217</v>
      </c>
      <c r="Q105">
        <v>1</v>
      </c>
      <c r="X105">
        <v>0.5</v>
      </c>
      <c r="Y105">
        <v>1.82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0.5</v>
      </c>
      <c r="AH105">
        <v>2</v>
      </c>
      <c r="AI105">
        <v>39477531</v>
      </c>
      <c r="AJ105">
        <v>108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ROW(Source!A49)</f>
        <v>49</v>
      </c>
      <c r="B106">
        <v>39477532</v>
      </c>
      <c r="C106">
        <v>39477524</v>
      </c>
      <c r="D106">
        <v>36806545</v>
      </c>
      <c r="E106">
        <v>1</v>
      </c>
      <c r="F106">
        <v>1</v>
      </c>
      <c r="G106">
        <v>1</v>
      </c>
      <c r="H106">
        <v>3</v>
      </c>
      <c r="I106" t="s">
        <v>963</v>
      </c>
      <c r="J106" t="s">
        <v>964</v>
      </c>
      <c r="K106" t="s">
        <v>965</v>
      </c>
      <c r="L106">
        <v>1348</v>
      </c>
      <c r="N106">
        <v>1009</v>
      </c>
      <c r="O106" t="s">
        <v>34</v>
      </c>
      <c r="P106" t="s">
        <v>34</v>
      </c>
      <c r="Q106">
        <v>1000</v>
      </c>
      <c r="X106">
        <v>0.04</v>
      </c>
      <c r="Y106">
        <v>412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0.04</v>
      </c>
      <c r="AH106">
        <v>2</v>
      </c>
      <c r="AI106">
        <v>39477532</v>
      </c>
      <c r="AJ106">
        <v>109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ROW(Source!A49)</f>
        <v>49</v>
      </c>
      <c r="B107">
        <v>39477533</v>
      </c>
      <c r="C107">
        <v>39477524</v>
      </c>
      <c r="D107">
        <v>36807350</v>
      </c>
      <c r="E107">
        <v>1</v>
      </c>
      <c r="F107">
        <v>1</v>
      </c>
      <c r="G107">
        <v>1</v>
      </c>
      <c r="H107">
        <v>3</v>
      </c>
      <c r="I107" t="s">
        <v>966</v>
      </c>
      <c r="J107" t="s">
        <v>967</v>
      </c>
      <c r="K107" t="s">
        <v>968</v>
      </c>
      <c r="L107">
        <v>1339</v>
      </c>
      <c r="N107">
        <v>1007</v>
      </c>
      <c r="O107" t="s">
        <v>25</v>
      </c>
      <c r="P107" t="s">
        <v>25</v>
      </c>
      <c r="Q107">
        <v>1</v>
      </c>
      <c r="X107">
        <v>1.5</v>
      </c>
      <c r="Y107">
        <v>497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1.5</v>
      </c>
      <c r="AH107">
        <v>2</v>
      </c>
      <c r="AI107">
        <v>39477533</v>
      </c>
      <c r="AJ107">
        <v>110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ROW(Source!A49)</f>
        <v>49</v>
      </c>
      <c r="B108">
        <v>39477534</v>
      </c>
      <c r="C108">
        <v>39477524</v>
      </c>
      <c r="D108">
        <v>36797453</v>
      </c>
      <c r="E108">
        <v>17</v>
      </c>
      <c r="F108">
        <v>1</v>
      </c>
      <c r="G108">
        <v>1</v>
      </c>
      <c r="H108">
        <v>3</v>
      </c>
      <c r="I108" t="s">
        <v>130</v>
      </c>
      <c r="J108" t="s">
        <v>3</v>
      </c>
      <c r="K108" t="s">
        <v>131</v>
      </c>
      <c r="L108">
        <v>1327</v>
      </c>
      <c r="N108">
        <v>1005</v>
      </c>
      <c r="O108" t="s">
        <v>61</v>
      </c>
      <c r="P108" t="s">
        <v>61</v>
      </c>
      <c r="Q108">
        <v>1</v>
      </c>
      <c r="X108">
        <v>100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3</v>
      </c>
      <c r="AG108">
        <v>100</v>
      </c>
      <c r="AH108">
        <v>2</v>
      </c>
      <c r="AI108">
        <v>39477534</v>
      </c>
      <c r="AJ108">
        <v>112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ROW(Source!A52)</f>
        <v>52</v>
      </c>
      <c r="B109">
        <v>39477567</v>
      </c>
      <c r="C109">
        <v>39477566</v>
      </c>
      <c r="D109">
        <v>37073008</v>
      </c>
      <c r="E109">
        <v>1</v>
      </c>
      <c r="F109">
        <v>1</v>
      </c>
      <c r="G109">
        <v>1</v>
      </c>
      <c r="H109">
        <v>1</v>
      </c>
      <c r="I109" t="s">
        <v>969</v>
      </c>
      <c r="J109" t="s">
        <v>3</v>
      </c>
      <c r="K109" t="s">
        <v>970</v>
      </c>
      <c r="L109">
        <v>1191</v>
      </c>
      <c r="N109">
        <v>1013</v>
      </c>
      <c r="O109" t="s">
        <v>796</v>
      </c>
      <c r="P109" t="s">
        <v>796</v>
      </c>
      <c r="Q109">
        <v>1</v>
      </c>
      <c r="X109">
        <v>46.18</v>
      </c>
      <c r="Y109">
        <v>0</v>
      </c>
      <c r="Z109">
        <v>0</v>
      </c>
      <c r="AA109">
        <v>0</v>
      </c>
      <c r="AB109">
        <v>11.27</v>
      </c>
      <c r="AC109">
        <v>0</v>
      </c>
      <c r="AD109">
        <v>1</v>
      </c>
      <c r="AE109">
        <v>1</v>
      </c>
      <c r="AF109" t="s">
        <v>54</v>
      </c>
      <c r="AG109">
        <v>63.728399999999986</v>
      </c>
      <c r="AH109">
        <v>2</v>
      </c>
      <c r="AI109">
        <v>39477567</v>
      </c>
      <c r="AJ109">
        <v>113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ROW(Source!A52)</f>
        <v>52</v>
      </c>
      <c r="B110">
        <v>39477568</v>
      </c>
      <c r="C110">
        <v>39477566</v>
      </c>
      <c r="D110">
        <v>37064876</v>
      </c>
      <c r="E110">
        <v>1</v>
      </c>
      <c r="F110">
        <v>1</v>
      </c>
      <c r="G110">
        <v>1</v>
      </c>
      <c r="H110">
        <v>1</v>
      </c>
      <c r="I110" t="s">
        <v>797</v>
      </c>
      <c r="J110" t="s">
        <v>3</v>
      </c>
      <c r="K110" t="s">
        <v>798</v>
      </c>
      <c r="L110">
        <v>1191</v>
      </c>
      <c r="N110">
        <v>1013</v>
      </c>
      <c r="O110" t="s">
        <v>796</v>
      </c>
      <c r="P110" t="s">
        <v>796</v>
      </c>
      <c r="Q110">
        <v>1</v>
      </c>
      <c r="X110">
        <v>0.98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2</v>
      </c>
      <c r="AF110" t="s">
        <v>53</v>
      </c>
      <c r="AG110">
        <v>1.47</v>
      </c>
      <c r="AH110">
        <v>2</v>
      </c>
      <c r="AI110">
        <v>39477568</v>
      </c>
      <c r="AJ110">
        <v>114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ROW(Source!A52)</f>
        <v>52</v>
      </c>
      <c r="B111">
        <v>39477569</v>
      </c>
      <c r="C111">
        <v>39477566</v>
      </c>
      <c r="D111">
        <v>36882452</v>
      </c>
      <c r="E111">
        <v>1</v>
      </c>
      <c r="F111">
        <v>1</v>
      </c>
      <c r="G111">
        <v>1</v>
      </c>
      <c r="H111">
        <v>2</v>
      </c>
      <c r="I111" t="s">
        <v>799</v>
      </c>
      <c r="J111" t="s">
        <v>800</v>
      </c>
      <c r="K111" t="s">
        <v>801</v>
      </c>
      <c r="L111">
        <v>1368</v>
      </c>
      <c r="N111">
        <v>1011</v>
      </c>
      <c r="O111" t="s">
        <v>802</v>
      </c>
      <c r="P111" t="s">
        <v>802</v>
      </c>
      <c r="Q111">
        <v>1</v>
      </c>
      <c r="X111">
        <v>0.39</v>
      </c>
      <c r="Y111">
        <v>0</v>
      </c>
      <c r="Z111">
        <v>31.26</v>
      </c>
      <c r="AA111">
        <v>13.5</v>
      </c>
      <c r="AB111">
        <v>0</v>
      </c>
      <c r="AC111">
        <v>0</v>
      </c>
      <c r="AD111">
        <v>1</v>
      </c>
      <c r="AE111">
        <v>0</v>
      </c>
      <c r="AF111" t="s">
        <v>53</v>
      </c>
      <c r="AG111">
        <v>0.58500000000000008</v>
      </c>
      <c r="AH111">
        <v>2</v>
      </c>
      <c r="AI111">
        <v>39477569</v>
      </c>
      <c r="AJ111">
        <v>115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ROW(Source!A52)</f>
        <v>52</v>
      </c>
      <c r="B112">
        <v>39477570</v>
      </c>
      <c r="C112">
        <v>39477566</v>
      </c>
      <c r="D112">
        <v>36882787</v>
      </c>
      <c r="E112">
        <v>1</v>
      </c>
      <c r="F112">
        <v>1</v>
      </c>
      <c r="G112">
        <v>1</v>
      </c>
      <c r="H112">
        <v>2</v>
      </c>
      <c r="I112" t="s">
        <v>971</v>
      </c>
      <c r="J112" t="s">
        <v>972</v>
      </c>
      <c r="K112" t="s">
        <v>973</v>
      </c>
      <c r="L112">
        <v>1368</v>
      </c>
      <c r="N112">
        <v>1011</v>
      </c>
      <c r="O112" t="s">
        <v>802</v>
      </c>
      <c r="P112" t="s">
        <v>802</v>
      </c>
      <c r="Q112">
        <v>1</v>
      </c>
      <c r="X112">
        <v>8.0500000000000007</v>
      </c>
      <c r="Y112">
        <v>0</v>
      </c>
      <c r="Z112">
        <v>30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53</v>
      </c>
      <c r="AG112">
        <v>12.074999999999999</v>
      </c>
      <c r="AH112">
        <v>2</v>
      </c>
      <c r="AI112">
        <v>39477570</v>
      </c>
      <c r="AJ112">
        <v>116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ROW(Source!A52)</f>
        <v>52</v>
      </c>
      <c r="B113">
        <v>39477571</v>
      </c>
      <c r="C113">
        <v>39477566</v>
      </c>
      <c r="D113">
        <v>36883554</v>
      </c>
      <c r="E113">
        <v>1</v>
      </c>
      <c r="F113">
        <v>1</v>
      </c>
      <c r="G113">
        <v>1</v>
      </c>
      <c r="H113">
        <v>2</v>
      </c>
      <c r="I113" t="s">
        <v>834</v>
      </c>
      <c r="J113" t="s">
        <v>835</v>
      </c>
      <c r="K113" t="s">
        <v>836</v>
      </c>
      <c r="L113">
        <v>1368</v>
      </c>
      <c r="N113">
        <v>1011</v>
      </c>
      <c r="O113" t="s">
        <v>802</v>
      </c>
      <c r="P113" t="s">
        <v>802</v>
      </c>
      <c r="Q113">
        <v>1</v>
      </c>
      <c r="X113">
        <v>0.59</v>
      </c>
      <c r="Y113">
        <v>0</v>
      </c>
      <c r="Z113">
        <v>65.709999999999994</v>
      </c>
      <c r="AA113">
        <v>11.6</v>
      </c>
      <c r="AB113">
        <v>0</v>
      </c>
      <c r="AC113">
        <v>0</v>
      </c>
      <c r="AD113">
        <v>1</v>
      </c>
      <c r="AE113">
        <v>0</v>
      </c>
      <c r="AF113" t="s">
        <v>53</v>
      </c>
      <c r="AG113">
        <v>0.8849999999999999</v>
      </c>
      <c r="AH113">
        <v>2</v>
      </c>
      <c r="AI113">
        <v>39477571</v>
      </c>
      <c r="AJ113">
        <v>117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ROW(Source!A52)</f>
        <v>52</v>
      </c>
      <c r="B114">
        <v>39477572</v>
      </c>
      <c r="C114">
        <v>39477566</v>
      </c>
      <c r="D114">
        <v>36884709</v>
      </c>
      <c r="E114">
        <v>1</v>
      </c>
      <c r="F114">
        <v>1</v>
      </c>
      <c r="G114">
        <v>1</v>
      </c>
      <c r="H114">
        <v>2</v>
      </c>
      <c r="I114" t="s">
        <v>974</v>
      </c>
      <c r="J114" t="s">
        <v>975</v>
      </c>
      <c r="K114" t="s">
        <v>976</v>
      </c>
      <c r="L114">
        <v>1368</v>
      </c>
      <c r="N114">
        <v>1011</v>
      </c>
      <c r="O114" t="s">
        <v>802</v>
      </c>
      <c r="P114" t="s">
        <v>802</v>
      </c>
      <c r="Q114">
        <v>1</v>
      </c>
      <c r="X114">
        <v>6</v>
      </c>
      <c r="Y114">
        <v>0</v>
      </c>
      <c r="Z114">
        <v>2.7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53</v>
      </c>
      <c r="AG114">
        <v>9</v>
      </c>
      <c r="AH114">
        <v>2</v>
      </c>
      <c r="AI114">
        <v>39477572</v>
      </c>
      <c r="AJ114">
        <v>118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ROW(Source!A52)</f>
        <v>52</v>
      </c>
      <c r="B115">
        <v>39477573</v>
      </c>
      <c r="C115">
        <v>39477566</v>
      </c>
      <c r="D115">
        <v>36799816</v>
      </c>
      <c r="E115">
        <v>1</v>
      </c>
      <c r="F115">
        <v>1</v>
      </c>
      <c r="G115">
        <v>1</v>
      </c>
      <c r="H115">
        <v>3</v>
      </c>
      <c r="I115" t="s">
        <v>977</v>
      </c>
      <c r="J115" t="s">
        <v>978</v>
      </c>
      <c r="K115" t="s">
        <v>979</v>
      </c>
      <c r="L115">
        <v>1348</v>
      </c>
      <c r="N115">
        <v>1009</v>
      </c>
      <c r="O115" t="s">
        <v>34</v>
      </c>
      <c r="P115" t="s">
        <v>34</v>
      </c>
      <c r="Q115">
        <v>1000</v>
      </c>
      <c r="X115">
        <v>1.4E-2</v>
      </c>
      <c r="Y115">
        <v>1160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1.4E-2</v>
      </c>
      <c r="AH115">
        <v>2</v>
      </c>
      <c r="AI115">
        <v>39477573</v>
      </c>
      <c r="AJ115">
        <v>119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ROW(Source!A52)</f>
        <v>52</v>
      </c>
      <c r="B116">
        <v>39477574</v>
      </c>
      <c r="C116">
        <v>39477566</v>
      </c>
      <c r="D116">
        <v>36799852</v>
      </c>
      <c r="E116">
        <v>1</v>
      </c>
      <c r="F116">
        <v>1</v>
      </c>
      <c r="G116">
        <v>1</v>
      </c>
      <c r="H116">
        <v>3</v>
      </c>
      <c r="I116" t="s">
        <v>980</v>
      </c>
      <c r="J116" t="s">
        <v>981</v>
      </c>
      <c r="K116" t="s">
        <v>982</v>
      </c>
      <c r="L116">
        <v>1348</v>
      </c>
      <c r="N116">
        <v>1009</v>
      </c>
      <c r="O116" t="s">
        <v>34</v>
      </c>
      <c r="P116" t="s">
        <v>34</v>
      </c>
      <c r="Q116">
        <v>1000</v>
      </c>
      <c r="X116">
        <v>5.7000000000000002E-2</v>
      </c>
      <c r="Y116">
        <v>1525.5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5.7000000000000002E-2</v>
      </c>
      <c r="AH116">
        <v>2</v>
      </c>
      <c r="AI116">
        <v>39477574</v>
      </c>
      <c r="AJ116">
        <v>120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ROW(Source!A52)</f>
        <v>52</v>
      </c>
      <c r="B117">
        <v>39477575</v>
      </c>
      <c r="C117">
        <v>39477566</v>
      </c>
      <c r="D117">
        <v>36799854</v>
      </c>
      <c r="E117">
        <v>1</v>
      </c>
      <c r="F117">
        <v>1</v>
      </c>
      <c r="G117">
        <v>1</v>
      </c>
      <c r="H117">
        <v>3</v>
      </c>
      <c r="I117" t="s">
        <v>983</v>
      </c>
      <c r="J117" t="s">
        <v>984</v>
      </c>
      <c r="K117" t="s">
        <v>985</v>
      </c>
      <c r="L117">
        <v>1348</v>
      </c>
      <c r="N117">
        <v>1009</v>
      </c>
      <c r="O117" t="s">
        <v>34</v>
      </c>
      <c r="P117" t="s">
        <v>34</v>
      </c>
      <c r="Q117">
        <v>1000</v>
      </c>
      <c r="X117">
        <v>0.28899999999999998</v>
      </c>
      <c r="Y117">
        <v>1383.1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0.28899999999999998</v>
      </c>
      <c r="AH117">
        <v>2</v>
      </c>
      <c r="AI117">
        <v>39477575</v>
      </c>
      <c r="AJ117">
        <v>121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ROW(Source!A52)</f>
        <v>52</v>
      </c>
      <c r="B118">
        <v>39477576</v>
      </c>
      <c r="C118">
        <v>39477566</v>
      </c>
      <c r="D118">
        <v>36800038</v>
      </c>
      <c r="E118">
        <v>1</v>
      </c>
      <c r="F118">
        <v>1</v>
      </c>
      <c r="G118">
        <v>1</v>
      </c>
      <c r="H118">
        <v>3</v>
      </c>
      <c r="I118" t="s">
        <v>986</v>
      </c>
      <c r="J118" t="s">
        <v>987</v>
      </c>
      <c r="K118" t="s">
        <v>988</v>
      </c>
      <c r="L118">
        <v>1348</v>
      </c>
      <c r="N118">
        <v>1009</v>
      </c>
      <c r="O118" t="s">
        <v>34</v>
      </c>
      <c r="P118" t="s">
        <v>34</v>
      </c>
      <c r="Q118">
        <v>1000</v>
      </c>
      <c r="X118">
        <v>9.5000000000000001E-2</v>
      </c>
      <c r="Y118">
        <v>6143.8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9.5000000000000001E-2</v>
      </c>
      <c r="AH118">
        <v>2</v>
      </c>
      <c r="AI118">
        <v>39477576</v>
      </c>
      <c r="AJ118">
        <v>122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ROW(Source!A52)</f>
        <v>52</v>
      </c>
      <c r="B119">
        <v>39477577</v>
      </c>
      <c r="C119">
        <v>39477566</v>
      </c>
      <c r="D119">
        <v>36802309</v>
      </c>
      <c r="E119">
        <v>1</v>
      </c>
      <c r="F119">
        <v>1</v>
      </c>
      <c r="G119">
        <v>1</v>
      </c>
      <c r="H119">
        <v>3</v>
      </c>
      <c r="I119" t="s">
        <v>989</v>
      </c>
      <c r="J119" t="s">
        <v>990</v>
      </c>
      <c r="K119" t="s">
        <v>991</v>
      </c>
      <c r="L119">
        <v>1348</v>
      </c>
      <c r="N119">
        <v>1009</v>
      </c>
      <c r="O119" t="s">
        <v>34</v>
      </c>
      <c r="P119" t="s">
        <v>34</v>
      </c>
      <c r="Q119">
        <v>1000</v>
      </c>
      <c r="X119">
        <v>0.23100000000000001</v>
      </c>
      <c r="Y119">
        <v>688.8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0.23100000000000001</v>
      </c>
      <c r="AH119">
        <v>2</v>
      </c>
      <c r="AI119">
        <v>39477577</v>
      </c>
      <c r="AJ119">
        <v>123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ROW(Source!A52)</f>
        <v>52</v>
      </c>
      <c r="B120">
        <v>39477578</v>
      </c>
      <c r="C120">
        <v>39477566</v>
      </c>
      <c r="D120">
        <v>36805524</v>
      </c>
      <c r="E120">
        <v>1</v>
      </c>
      <c r="F120">
        <v>1</v>
      </c>
      <c r="G120">
        <v>1</v>
      </c>
      <c r="H120">
        <v>3</v>
      </c>
      <c r="I120" t="s">
        <v>960</v>
      </c>
      <c r="J120" t="s">
        <v>961</v>
      </c>
      <c r="K120" t="s">
        <v>962</v>
      </c>
      <c r="L120">
        <v>1346</v>
      </c>
      <c r="N120">
        <v>1009</v>
      </c>
      <c r="O120" t="s">
        <v>217</v>
      </c>
      <c r="P120" t="s">
        <v>217</v>
      </c>
      <c r="Q120">
        <v>1</v>
      </c>
      <c r="X120">
        <v>0.5</v>
      </c>
      <c r="Y120">
        <v>1.82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0.5</v>
      </c>
      <c r="AH120">
        <v>2</v>
      </c>
      <c r="AI120">
        <v>39477578</v>
      </c>
      <c r="AJ120">
        <v>124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ROW(Source!A52)</f>
        <v>52</v>
      </c>
      <c r="B121">
        <v>39477579</v>
      </c>
      <c r="C121">
        <v>39477566</v>
      </c>
      <c r="D121">
        <v>36797131</v>
      </c>
      <c r="E121">
        <v>17</v>
      </c>
      <c r="F121">
        <v>1</v>
      </c>
      <c r="G121">
        <v>1</v>
      </c>
      <c r="H121">
        <v>3</v>
      </c>
      <c r="I121" t="s">
        <v>143</v>
      </c>
      <c r="J121" t="s">
        <v>3</v>
      </c>
      <c r="K121" t="s">
        <v>144</v>
      </c>
      <c r="L121">
        <v>1327</v>
      </c>
      <c r="N121">
        <v>1005</v>
      </c>
      <c r="O121" t="s">
        <v>61</v>
      </c>
      <c r="P121" t="s">
        <v>61</v>
      </c>
      <c r="Q121">
        <v>1</v>
      </c>
      <c r="X121">
        <v>116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3</v>
      </c>
      <c r="AG121">
        <v>116</v>
      </c>
      <c r="AH121">
        <v>2</v>
      </c>
      <c r="AI121">
        <v>39477579</v>
      </c>
      <c r="AJ121">
        <v>125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ROW(Source!A55)</f>
        <v>55</v>
      </c>
      <c r="B122">
        <v>39477553</v>
      </c>
      <c r="C122">
        <v>39477552</v>
      </c>
      <c r="D122">
        <v>37071037</v>
      </c>
      <c r="E122">
        <v>1</v>
      </c>
      <c r="F122">
        <v>1</v>
      </c>
      <c r="G122">
        <v>1</v>
      </c>
      <c r="H122">
        <v>1</v>
      </c>
      <c r="I122" t="s">
        <v>992</v>
      </c>
      <c r="J122" t="s">
        <v>3</v>
      </c>
      <c r="K122" t="s">
        <v>993</v>
      </c>
      <c r="L122">
        <v>1191</v>
      </c>
      <c r="N122">
        <v>1013</v>
      </c>
      <c r="O122" t="s">
        <v>796</v>
      </c>
      <c r="P122" t="s">
        <v>796</v>
      </c>
      <c r="Q122">
        <v>1</v>
      </c>
      <c r="X122">
        <v>19.170000000000002</v>
      </c>
      <c r="Y122">
        <v>0</v>
      </c>
      <c r="Z122">
        <v>0</v>
      </c>
      <c r="AA122">
        <v>0</v>
      </c>
      <c r="AB122">
        <v>9.6199999999999992</v>
      </c>
      <c r="AC122">
        <v>0</v>
      </c>
      <c r="AD122">
        <v>1</v>
      </c>
      <c r="AE122">
        <v>1</v>
      </c>
      <c r="AF122" t="s">
        <v>54</v>
      </c>
      <c r="AG122">
        <v>26.454599999999999</v>
      </c>
      <c r="AH122">
        <v>2</v>
      </c>
      <c r="AI122">
        <v>39477553</v>
      </c>
      <c r="AJ122">
        <v>127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ROW(Source!A55)</f>
        <v>55</v>
      </c>
      <c r="B123">
        <v>39477554</v>
      </c>
      <c r="C123">
        <v>39477552</v>
      </c>
      <c r="D123">
        <v>37064876</v>
      </c>
      <c r="E123">
        <v>1</v>
      </c>
      <c r="F123">
        <v>1</v>
      </c>
      <c r="G123">
        <v>1</v>
      </c>
      <c r="H123">
        <v>1</v>
      </c>
      <c r="I123" t="s">
        <v>797</v>
      </c>
      <c r="J123" t="s">
        <v>3</v>
      </c>
      <c r="K123" t="s">
        <v>798</v>
      </c>
      <c r="L123">
        <v>1191</v>
      </c>
      <c r="N123">
        <v>1013</v>
      </c>
      <c r="O123" t="s">
        <v>796</v>
      </c>
      <c r="P123" t="s">
        <v>796</v>
      </c>
      <c r="Q123">
        <v>1</v>
      </c>
      <c r="X123">
        <v>0.02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53</v>
      </c>
      <c r="AG123">
        <v>0.03</v>
      </c>
      <c r="AH123">
        <v>2</v>
      </c>
      <c r="AI123">
        <v>39477554</v>
      </c>
      <c r="AJ123">
        <v>128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ROW(Source!A55)</f>
        <v>55</v>
      </c>
      <c r="B124">
        <v>39477555</v>
      </c>
      <c r="C124">
        <v>39477552</v>
      </c>
      <c r="D124">
        <v>36882452</v>
      </c>
      <c r="E124">
        <v>1</v>
      </c>
      <c r="F124">
        <v>1</v>
      </c>
      <c r="G124">
        <v>1</v>
      </c>
      <c r="H124">
        <v>2</v>
      </c>
      <c r="I124" t="s">
        <v>799</v>
      </c>
      <c r="J124" t="s">
        <v>800</v>
      </c>
      <c r="K124" t="s">
        <v>801</v>
      </c>
      <c r="L124">
        <v>1368</v>
      </c>
      <c r="N124">
        <v>1011</v>
      </c>
      <c r="O124" t="s">
        <v>802</v>
      </c>
      <c r="P124" t="s">
        <v>802</v>
      </c>
      <c r="Q124">
        <v>1</v>
      </c>
      <c r="X124">
        <v>2.9999999999999997E-4</v>
      </c>
      <c r="Y124">
        <v>0</v>
      </c>
      <c r="Z124">
        <v>31.26</v>
      </c>
      <c r="AA124">
        <v>13.5</v>
      </c>
      <c r="AB124">
        <v>0</v>
      </c>
      <c r="AC124">
        <v>0</v>
      </c>
      <c r="AD124">
        <v>1</v>
      </c>
      <c r="AE124">
        <v>0</v>
      </c>
      <c r="AF124" t="s">
        <v>53</v>
      </c>
      <c r="AG124">
        <v>4.4999999999999993E-4</v>
      </c>
      <c r="AH124">
        <v>2</v>
      </c>
      <c r="AI124">
        <v>39477555</v>
      </c>
      <c r="AJ124">
        <v>129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ROW(Source!A55)</f>
        <v>55</v>
      </c>
      <c r="B125">
        <v>39477556</v>
      </c>
      <c r="C125">
        <v>39477552</v>
      </c>
      <c r="D125">
        <v>36883554</v>
      </c>
      <c r="E125">
        <v>1</v>
      </c>
      <c r="F125">
        <v>1</v>
      </c>
      <c r="G125">
        <v>1</v>
      </c>
      <c r="H125">
        <v>2</v>
      </c>
      <c r="I125" t="s">
        <v>834</v>
      </c>
      <c r="J125" t="s">
        <v>835</v>
      </c>
      <c r="K125" t="s">
        <v>836</v>
      </c>
      <c r="L125">
        <v>1368</v>
      </c>
      <c r="N125">
        <v>1011</v>
      </c>
      <c r="O125" t="s">
        <v>802</v>
      </c>
      <c r="P125" t="s">
        <v>802</v>
      </c>
      <c r="Q125">
        <v>1</v>
      </c>
      <c r="X125">
        <v>0.02</v>
      </c>
      <c r="Y125">
        <v>0</v>
      </c>
      <c r="Z125">
        <v>65.709999999999994</v>
      </c>
      <c r="AA125">
        <v>11.6</v>
      </c>
      <c r="AB125">
        <v>0</v>
      </c>
      <c r="AC125">
        <v>0</v>
      </c>
      <c r="AD125">
        <v>1</v>
      </c>
      <c r="AE125">
        <v>0</v>
      </c>
      <c r="AF125" t="s">
        <v>53</v>
      </c>
      <c r="AG125">
        <v>0.03</v>
      </c>
      <c r="AH125">
        <v>2</v>
      </c>
      <c r="AI125">
        <v>39477556</v>
      </c>
      <c r="AJ125">
        <v>130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ROW(Source!A55)</f>
        <v>55</v>
      </c>
      <c r="B126">
        <v>39477557</v>
      </c>
      <c r="C126">
        <v>39477552</v>
      </c>
      <c r="D126">
        <v>36797288</v>
      </c>
      <c r="E126">
        <v>17</v>
      </c>
      <c r="F126">
        <v>1</v>
      </c>
      <c r="G126">
        <v>1</v>
      </c>
      <c r="H126">
        <v>3</v>
      </c>
      <c r="I126" t="s">
        <v>155</v>
      </c>
      <c r="J126" t="s">
        <v>3</v>
      </c>
      <c r="K126" t="s">
        <v>156</v>
      </c>
      <c r="L126">
        <v>1327</v>
      </c>
      <c r="N126">
        <v>1005</v>
      </c>
      <c r="O126" t="s">
        <v>61</v>
      </c>
      <c r="P126" t="s">
        <v>61</v>
      </c>
      <c r="Q126">
        <v>1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1</v>
      </c>
      <c r="AD126">
        <v>0</v>
      </c>
      <c r="AE126">
        <v>0</v>
      </c>
      <c r="AF126" t="s">
        <v>3</v>
      </c>
      <c r="AG126">
        <v>0</v>
      </c>
      <c r="AH126">
        <v>2</v>
      </c>
      <c r="AI126">
        <v>39477557</v>
      </c>
      <c r="AJ126">
        <v>131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ROW(Source!A55)</f>
        <v>55</v>
      </c>
      <c r="B127">
        <v>39477558</v>
      </c>
      <c r="C127">
        <v>39477552</v>
      </c>
      <c r="D127">
        <v>36806488</v>
      </c>
      <c r="E127">
        <v>1</v>
      </c>
      <c r="F127">
        <v>1</v>
      </c>
      <c r="G127">
        <v>1</v>
      </c>
      <c r="H127">
        <v>3</v>
      </c>
      <c r="I127" t="s">
        <v>931</v>
      </c>
      <c r="J127" t="s">
        <v>932</v>
      </c>
      <c r="K127" t="s">
        <v>933</v>
      </c>
      <c r="L127">
        <v>1348</v>
      </c>
      <c r="N127">
        <v>1009</v>
      </c>
      <c r="O127" t="s">
        <v>34</v>
      </c>
      <c r="P127" t="s">
        <v>34</v>
      </c>
      <c r="Q127">
        <v>1000</v>
      </c>
      <c r="X127">
        <v>2E-3</v>
      </c>
      <c r="Y127">
        <v>729.98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2E-3</v>
      </c>
      <c r="AH127">
        <v>2</v>
      </c>
      <c r="AI127">
        <v>39477558</v>
      </c>
      <c r="AJ127">
        <v>133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ROW(Source!A55)</f>
        <v>55</v>
      </c>
      <c r="B128">
        <v>39477559</v>
      </c>
      <c r="C128">
        <v>39477552</v>
      </c>
      <c r="D128">
        <v>36855483</v>
      </c>
      <c r="E128">
        <v>1</v>
      </c>
      <c r="F128">
        <v>1</v>
      </c>
      <c r="G128">
        <v>1</v>
      </c>
      <c r="H128">
        <v>3</v>
      </c>
      <c r="I128" t="s">
        <v>158</v>
      </c>
      <c r="J128" t="s">
        <v>161</v>
      </c>
      <c r="K128" t="s">
        <v>159</v>
      </c>
      <c r="L128">
        <v>1358</v>
      </c>
      <c r="N128">
        <v>1010</v>
      </c>
      <c r="O128" t="s">
        <v>160</v>
      </c>
      <c r="P128" t="s">
        <v>160</v>
      </c>
      <c r="Q128">
        <v>10</v>
      </c>
      <c r="X128">
        <v>0</v>
      </c>
      <c r="Y128">
        <v>34.200000000000003</v>
      </c>
      <c r="Z128">
        <v>0</v>
      </c>
      <c r="AA128">
        <v>0</v>
      </c>
      <c r="AB128">
        <v>0</v>
      </c>
      <c r="AC128">
        <v>1</v>
      </c>
      <c r="AD128">
        <v>0</v>
      </c>
      <c r="AE128">
        <v>0</v>
      </c>
      <c r="AF128" t="s">
        <v>3</v>
      </c>
      <c r="AG128">
        <v>0</v>
      </c>
      <c r="AH128">
        <v>2</v>
      </c>
      <c r="AI128">
        <v>39477559</v>
      </c>
      <c r="AJ128">
        <v>134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ROW(Source!A59)</f>
        <v>59</v>
      </c>
      <c r="B129">
        <v>39477847</v>
      </c>
      <c r="C129">
        <v>39477846</v>
      </c>
      <c r="D129">
        <v>37064998</v>
      </c>
      <c r="E129">
        <v>1</v>
      </c>
      <c r="F129">
        <v>1</v>
      </c>
      <c r="G129">
        <v>1</v>
      </c>
      <c r="H129">
        <v>1</v>
      </c>
      <c r="I129" t="s">
        <v>994</v>
      </c>
      <c r="J129" t="s">
        <v>3</v>
      </c>
      <c r="K129" t="s">
        <v>995</v>
      </c>
      <c r="L129">
        <v>1191</v>
      </c>
      <c r="N129">
        <v>1013</v>
      </c>
      <c r="O129" t="s">
        <v>796</v>
      </c>
      <c r="P129" t="s">
        <v>796</v>
      </c>
      <c r="Q129">
        <v>1</v>
      </c>
      <c r="X129">
        <v>40.65</v>
      </c>
      <c r="Y129">
        <v>0</v>
      </c>
      <c r="Z129">
        <v>0</v>
      </c>
      <c r="AA129">
        <v>0</v>
      </c>
      <c r="AB129">
        <v>7.8</v>
      </c>
      <c r="AC129">
        <v>0</v>
      </c>
      <c r="AD129">
        <v>1</v>
      </c>
      <c r="AE129">
        <v>1</v>
      </c>
      <c r="AF129" t="s">
        <v>168</v>
      </c>
      <c r="AG129">
        <v>140.24249999999998</v>
      </c>
      <c r="AH129">
        <v>2</v>
      </c>
      <c r="AI129">
        <v>39477847</v>
      </c>
      <c r="AJ129">
        <v>135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ROW(Source!A59)</f>
        <v>59</v>
      </c>
      <c r="B130">
        <v>39477848</v>
      </c>
      <c r="C130">
        <v>39477846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797</v>
      </c>
      <c r="J130" t="s">
        <v>3</v>
      </c>
      <c r="K130" t="s">
        <v>798</v>
      </c>
      <c r="L130">
        <v>1191</v>
      </c>
      <c r="N130">
        <v>1013</v>
      </c>
      <c r="O130" t="s">
        <v>796</v>
      </c>
      <c r="P130" t="s">
        <v>796</v>
      </c>
      <c r="Q130">
        <v>1</v>
      </c>
      <c r="X130">
        <v>1.27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167</v>
      </c>
      <c r="AG130">
        <v>4.7625000000000002</v>
      </c>
      <c r="AH130">
        <v>2</v>
      </c>
      <c r="AI130">
        <v>39477848</v>
      </c>
      <c r="AJ130">
        <v>136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ROW(Source!A59)</f>
        <v>59</v>
      </c>
      <c r="B131">
        <v>39477849</v>
      </c>
      <c r="C131">
        <v>39477846</v>
      </c>
      <c r="D131">
        <v>36882452</v>
      </c>
      <c r="E131">
        <v>1</v>
      </c>
      <c r="F131">
        <v>1</v>
      </c>
      <c r="G131">
        <v>1</v>
      </c>
      <c r="H131">
        <v>2</v>
      </c>
      <c r="I131" t="s">
        <v>799</v>
      </c>
      <c r="J131" t="s">
        <v>800</v>
      </c>
      <c r="K131" t="s">
        <v>801</v>
      </c>
      <c r="L131">
        <v>1368</v>
      </c>
      <c r="N131">
        <v>1011</v>
      </c>
      <c r="O131" t="s">
        <v>802</v>
      </c>
      <c r="P131" t="s">
        <v>802</v>
      </c>
      <c r="Q131">
        <v>1</v>
      </c>
      <c r="X131">
        <v>1.27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167</v>
      </c>
      <c r="AG131">
        <v>4.7625000000000002</v>
      </c>
      <c r="AH131">
        <v>2</v>
      </c>
      <c r="AI131">
        <v>39477849</v>
      </c>
      <c r="AJ131">
        <v>137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ROW(Source!A59)</f>
        <v>59</v>
      </c>
      <c r="B132">
        <v>39477850</v>
      </c>
      <c r="C132">
        <v>39477846</v>
      </c>
      <c r="D132">
        <v>36882569</v>
      </c>
      <c r="E132">
        <v>1</v>
      </c>
      <c r="F132">
        <v>1</v>
      </c>
      <c r="G132">
        <v>1</v>
      </c>
      <c r="H132">
        <v>2</v>
      </c>
      <c r="I132" t="s">
        <v>996</v>
      </c>
      <c r="J132" t="s">
        <v>997</v>
      </c>
      <c r="K132" t="s">
        <v>998</v>
      </c>
      <c r="L132">
        <v>1368</v>
      </c>
      <c r="N132">
        <v>1011</v>
      </c>
      <c r="O132" t="s">
        <v>802</v>
      </c>
      <c r="P132" t="s">
        <v>802</v>
      </c>
      <c r="Q132">
        <v>1</v>
      </c>
      <c r="X132">
        <v>4.7</v>
      </c>
      <c r="Y132">
        <v>0</v>
      </c>
      <c r="Z132">
        <v>0.5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167</v>
      </c>
      <c r="AG132">
        <v>17.625</v>
      </c>
      <c r="AH132">
        <v>2</v>
      </c>
      <c r="AI132">
        <v>39477850</v>
      </c>
      <c r="AJ132">
        <v>138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ROW(Source!A59)</f>
        <v>59</v>
      </c>
      <c r="B133">
        <v>39477851</v>
      </c>
      <c r="C133">
        <v>39477846</v>
      </c>
      <c r="D133">
        <v>36801792</v>
      </c>
      <c r="E133">
        <v>1</v>
      </c>
      <c r="F133">
        <v>1</v>
      </c>
      <c r="G133">
        <v>1</v>
      </c>
      <c r="H133">
        <v>3</v>
      </c>
      <c r="I133" t="s">
        <v>954</v>
      </c>
      <c r="J133" t="s">
        <v>955</v>
      </c>
      <c r="K133" t="s">
        <v>956</v>
      </c>
      <c r="L133">
        <v>1339</v>
      </c>
      <c r="N133">
        <v>1007</v>
      </c>
      <c r="O133" t="s">
        <v>25</v>
      </c>
      <c r="P133" t="s">
        <v>25</v>
      </c>
      <c r="Q133">
        <v>1</v>
      </c>
      <c r="X133">
        <v>3.5</v>
      </c>
      <c r="Y133">
        <v>2.44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166</v>
      </c>
      <c r="AG133">
        <v>8.75</v>
      </c>
      <c r="AH133">
        <v>2</v>
      </c>
      <c r="AI133">
        <v>39477851</v>
      </c>
      <c r="AJ133">
        <v>139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ROW(Source!A59)</f>
        <v>59</v>
      </c>
      <c r="B134">
        <v>39477852</v>
      </c>
      <c r="C134">
        <v>39477846</v>
      </c>
      <c r="D134">
        <v>36796420</v>
      </c>
      <c r="E134">
        <v>17</v>
      </c>
      <c r="F134">
        <v>1</v>
      </c>
      <c r="G134">
        <v>1</v>
      </c>
      <c r="H134">
        <v>3</v>
      </c>
      <c r="I134" t="s">
        <v>175</v>
      </c>
      <c r="J134" t="s">
        <v>3</v>
      </c>
      <c r="K134" t="s">
        <v>176</v>
      </c>
      <c r="L134">
        <v>1339</v>
      </c>
      <c r="N134">
        <v>1007</v>
      </c>
      <c r="O134" t="s">
        <v>25</v>
      </c>
      <c r="P134" t="s">
        <v>25</v>
      </c>
      <c r="Q134">
        <v>1</v>
      </c>
      <c r="X134">
        <v>2.04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166</v>
      </c>
      <c r="AG134">
        <v>5.0999999999999996</v>
      </c>
      <c r="AH134">
        <v>2</v>
      </c>
      <c r="AI134">
        <v>39477852</v>
      </c>
      <c r="AJ134">
        <v>141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ROW(Source!A62)</f>
        <v>62</v>
      </c>
      <c r="B135">
        <v>39477871</v>
      </c>
      <c r="C135">
        <v>39477870</v>
      </c>
      <c r="D135">
        <v>37070495</v>
      </c>
      <c r="E135">
        <v>1</v>
      </c>
      <c r="F135">
        <v>1</v>
      </c>
      <c r="G135">
        <v>1</v>
      </c>
      <c r="H135">
        <v>1</v>
      </c>
      <c r="I135" t="s">
        <v>875</v>
      </c>
      <c r="J135" t="s">
        <v>3</v>
      </c>
      <c r="K135" t="s">
        <v>876</v>
      </c>
      <c r="L135">
        <v>1191</v>
      </c>
      <c r="N135">
        <v>1013</v>
      </c>
      <c r="O135" t="s">
        <v>796</v>
      </c>
      <c r="P135" t="s">
        <v>796</v>
      </c>
      <c r="Q135">
        <v>1</v>
      </c>
      <c r="X135">
        <v>119.78</v>
      </c>
      <c r="Y135">
        <v>0</v>
      </c>
      <c r="Z135">
        <v>0</v>
      </c>
      <c r="AA135">
        <v>0</v>
      </c>
      <c r="AB135">
        <v>8.74</v>
      </c>
      <c r="AC135">
        <v>0</v>
      </c>
      <c r="AD135">
        <v>1</v>
      </c>
      <c r="AE135">
        <v>1</v>
      </c>
      <c r="AF135" t="s">
        <v>54</v>
      </c>
      <c r="AG135">
        <v>165.29639999999998</v>
      </c>
      <c r="AH135">
        <v>2</v>
      </c>
      <c r="AI135">
        <v>39477871</v>
      </c>
      <c r="AJ135">
        <v>142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ROW(Source!A62)</f>
        <v>62</v>
      </c>
      <c r="B136">
        <v>39477872</v>
      </c>
      <c r="C136">
        <v>39477870</v>
      </c>
      <c r="D136">
        <v>37064876</v>
      </c>
      <c r="E136">
        <v>1</v>
      </c>
      <c r="F136">
        <v>1</v>
      </c>
      <c r="G136">
        <v>1</v>
      </c>
      <c r="H136">
        <v>1</v>
      </c>
      <c r="I136" t="s">
        <v>797</v>
      </c>
      <c r="J136" t="s">
        <v>3</v>
      </c>
      <c r="K136" t="s">
        <v>798</v>
      </c>
      <c r="L136">
        <v>1191</v>
      </c>
      <c r="N136">
        <v>1013</v>
      </c>
      <c r="O136" t="s">
        <v>796</v>
      </c>
      <c r="P136" t="s">
        <v>796</v>
      </c>
      <c r="Q136">
        <v>1</v>
      </c>
      <c r="X136">
        <v>4.5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53</v>
      </c>
      <c r="AG136">
        <v>6.75</v>
      </c>
      <c r="AH136">
        <v>2</v>
      </c>
      <c r="AI136">
        <v>39477872</v>
      </c>
      <c r="AJ136">
        <v>143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ROW(Source!A62)</f>
        <v>62</v>
      </c>
      <c r="B137">
        <v>39477873</v>
      </c>
      <c r="C137">
        <v>39477870</v>
      </c>
      <c r="D137">
        <v>36882383</v>
      </c>
      <c r="E137">
        <v>1</v>
      </c>
      <c r="F137">
        <v>1</v>
      </c>
      <c r="G137">
        <v>1</v>
      </c>
      <c r="H137">
        <v>2</v>
      </c>
      <c r="I137" t="s">
        <v>951</v>
      </c>
      <c r="J137" t="s">
        <v>952</v>
      </c>
      <c r="K137" t="s">
        <v>953</v>
      </c>
      <c r="L137">
        <v>1368</v>
      </c>
      <c r="N137">
        <v>1011</v>
      </c>
      <c r="O137" t="s">
        <v>802</v>
      </c>
      <c r="P137" t="s">
        <v>802</v>
      </c>
      <c r="Q137">
        <v>1</v>
      </c>
      <c r="X137">
        <v>0.36</v>
      </c>
      <c r="Y137">
        <v>0</v>
      </c>
      <c r="Z137">
        <v>89.99</v>
      </c>
      <c r="AA137">
        <v>10.06</v>
      </c>
      <c r="AB137">
        <v>0</v>
      </c>
      <c r="AC137">
        <v>0</v>
      </c>
      <c r="AD137">
        <v>1</v>
      </c>
      <c r="AE137">
        <v>0</v>
      </c>
      <c r="AF137" t="s">
        <v>53</v>
      </c>
      <c r="AG137">
        <v>0.53999999999999992</v>
      </c>
      <c r="AH137">
        <v>2</v>
      </c>
      <c r="AI137">
        <v>39477873</v>
      </c>
      <c r="AJ137">
        <v>144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ROW(Source!A62)</f>
        <v>62</v>
      </c>
      <c r="B138">
        <v>39477874</v>
      </c>
      <c r="C138">
        <v>39477870</v>
      </c>
      <c r="D138">
        <v>36882452</v>
      </c>
      <c r="E138">
        <v>1</v>
      </c>
      <c r="F138">
        <v>1</v>
      </c>
      <c r="G138">
        <v>1</v>
      </c>
      <c r="H138">
        <v>2</v>
      </c>
      <c r="I138" t="s">
        <v>799</v>
      </c>
      <c r="J138" t="s">
        <v>800</v>
      </c>
      <c r="K138" t="s">
        <v>801</v>
      </c>
      <c r="L138">
        <v>1368</v>
      </c>
      <c r="N138">
        <v>1011</v>
      </c>
      <c r="O138" t="s">
        <v>802</v>
      </c>
      <c r="P138" t="s">
        <v>802</v>
      </c>
      <c r="Q138">
        <v>1</v>
      </c>
      <c r="X138">
        <v>2.2999999999999998</v>
      </c>
      <c r="Y138">
        <v>0</v>
      </c>
      <c r="Z138">
        <v>31.26</v>
      </c>
      <c r="AA138">
        <v>13.5</v>
      </c>
      <c r="AB138">
        <v>0</v>
      </c>
      <c r="AC138">
        <v>0</v>
      </c>
      <c r="AD138">
        <v>1</v>
      </c>
      <c r="AE138">
        <v>0</v>
      </c>
      <c r="AF138" t="s">
        <v>53</v>
      </c>
      <c r="AG138">
        <v>3.4499999999999997</v>
      </c>
      <c r="AH138">
        <v>2</v>
      </c>
      <c r="AI138">
        <v>39477874</v>
      </c>
      <c r="AJ138">
        <v>145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ROW(Source!A62)</f>
        <v>62</v>
      </c>
      <c r="B139">
        <v>39477875</v>
      </c>
      <c r="C139">
        <v>39477870</v>
      </c>
      <c r="D139">
        <v>36882621</v>
      </c>
      <c r="E139">
        <v>1</v>
      </c>
      <c r="F139">
        <v>1</v>
      </c>
      <c r="G139">
        <v>1</v>
      </c>
      <c r="H139">
        <v>2</v>
      </c>
      <c r="I139" t="s">
        <v>999</v>
      </c>
      <c r="J139" t="s">
        <v>1000</v>
      </c>
      <c r="K139" t="s">
        <v>1001</v>
      </c>
      <c r="L139">
        <v>1368</v>
      </c>
      <c r="N139">
        <v>1011</v>
      </c>
      <c r="O139" t="s">
        <v>802</v>
      </c>
      <c r="P139" t="s">
        <v>802</v>
      </c>
      <c r="Q139">
        <v>1</v>
      </c>
      <c r="X139">
        <v>1.56</v>
      </c>
      <c r="Y139">
        <v>0</v>
      </c>
      <c r="Z139">
        <v>12.39</v>
      </c>
      <c r="AA139">
        <v>10.06</v>
      </c>
      <c r="AB139">
        <v>0</v>
      </c>
      <c r="AC139">
        <v>0</v>
      </c>
      <c r="AD139">
        <v>1</v>
      </c>
      <c r="AE139">
        <v>0</v>
      </c>
      <c r="AF139" t="s">
        <v>53</v>
      </c>
      <c r="AG139">
        <v>2.3400000000000003</v>
      </c>
      <c r="AH139">
        <v>2</v>
      </c>
      <c r="AI139">
        <v>39477875</v>
      </c>
      <c r="AJ139">
        <v>146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ROW(Source!A62)</f>
        <v>62</v>
      </c>
      <c r="B140">
        <v>39477876</v>
      </c>
      <c r="C140">
        <v>39477870</v>
      </c>
      <c r="D140">
        <v>36883554</v>
      </c>
      <c r="E140">
        <v>1</v>
      </c>
      <c r="F140">
        <v>1</v>
      </c>
      <c r="G140">
        <v>1</v>
      </c>
      <c r="H140">
        <v>2</v>
      </c>
      <c r="I140" t="s">
        <v>834</v>
      </c>
      <c r="J140" t="s">
        <v>835</v>
      </c>
      <c r="K140" t="s">
        <v>836</v>
      </c>
      <c r="L140">
        <v>1368</v>
      </c>
      <c r="N140">
        <v>1011</v>
      </c>
      <c r="O140" t="s">
        <v>802</v>
      </c>
      <c r="P140" t="s">
        <v>802</v>
      </c>
      <c r="Q140">
        <v>1</v>
      </c>
      <c r="X140">
        <v>0.28000000000000003</v>
      </c>
      <c r="Y140">
        <v>0</v>
      </c>
      <c r="Z140">
        <v>65.709999999999994</v>
      </c>
      <c r="AA140">
        <v>11.6</v>
      </c>
      <c r="AB140">
        <v>0</v>
      </c>
      <c r="AC140">
        <v>0</v>
      </c>
      <c r="AD140">
        <v>1</v>
      </c>
      <c r="AE140">
        <v>0</v>
      </c>
      <c r="AF140" t="s">
        <v>53</v>
      </c>
      <c r="AG140">
        <v>0.42000000000000004</v>
      </c>
      <c r="AH140">
        <v>2</v>
      </c>
      <c r="AI140">
        <v>39477876</v>
      </c>
      <c r="AJ140">
        <v>147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ROW(Source!A62)</f>
        <v>62</v>
      </c>
      <c r="B141">
        <v>39477877</v>
      </c>
      <c r="C141">
        <v>39477870</v>
      </c>
      <c r="D141">
        <v>36801792</v>
      </c>
      <c r="E141">
        <v>1</v>
      </c>
      <c r="F141">
        <v>1</v>
      </c>
      <c r="G141">
        <v>1</v>
      </c>
      <c r="H141">
        <v>3</v>
      </c>
      <c r="I141" t="s">
        <v>954</v>
      </c>
      <c r="J141" t="s">
        <v>955</v>
      </c>
      <c r="K141" t="s">
        <v>956</v>
      </c>
      <c r="L141">
        <v>1339</v>
      </c>
      <c r="N141">
        <v>1007</v>
      </c>
      <c r="O141" t="s">
        <v>25</v>
      </c>
      <c r="P141" t="s">
        <v>25</v>
      </c>
      <c r="Q141">
        <v>1</v>
      </c>
      <c r="X141">
        <v>0.1</v>
      </c>
      <c r="Y141">
        <v>2.44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0.1</v>
      </c>
      <c r="AH141">
        <v>2</v>
      </c>
      <c r="AI141">
        <v>39477877</v>
      </c>
      <c r="AJ141">
        <v>148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ROW(Source!A62)</f>
        <v>62</v>
      </c>
      <c r="B142">
        <v>39477878</v>
      </c>
      <c r="C142">
        <v>39477870</v>
      </c>
      <c r="D142">
        <v>36805524</v>
      </c>
      <c r="E142">
        <v>1</v>
      </c>
      <c r="F142">
        <v>1</v>
      </c>
      <c r="G142">
        <v>1</v>
      </c>
      <c r="H142">
        <v>3</v>
      </c>
      <c r="I142" t="s">
        <v>960</v>
      </c>
      <c r="J142" t="s">
        <v>961</v>
      </c>
      <c r="K142" t="s">
        <v>962</v>
      </c>
      <c r="L142">
        <v>1346</v>
      </c>
      <c r="N142">
        <v>1009</v>
      </c>
      <c r="O142" t="s">
        <v>217</v>
      </c>
      <c r="P142" t="s">
        <v>217</v>
      </c>
      <c r="Q142">
        <v>1</v>
      </c>
      <c r="X142">
        <v>0.5</v>
      </c>
      <c r="Y142">
        <v>1.82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0.5</v>
      </c>
      <c r="AH142">
        <v>2</v>
      </c>
      <c r="AI142">
        <v>39477878</v>
      </c>
      <c r="AJ142">
        <v>149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ROW(Source!A62)</f>
        <v>62</v>
      </c>
      <c r="B143">
        <v>39477879</v>
      </c>
      <c r="C143">
        <v>39477870</v>
      </c>
      <c r="D143">
        <v>36807549</v>
      </c>
      <c r="E143">
        <v>1</v>
      </c>
      <c r="F143">
        <v>1</v>
      </c>
      <c r="G143">
        <v>1</v>
      </c>
      <c r="H143">
        <v>3</v>
      </c>
      <c r="I143" t="s">
        <v>1002</v>
      </c>
      <c r="J143" t="s">
        <v>1003</v>
      </c>
      <c r="K143" t="s">
        <v>1004</v>
      </c>
      <c r="L143">
        <v>1348</v>
      </c>
      <c r="N143">
        <v>1009</v>
      </c>
      <c r="O143" t="s">
        <v>34</v>
      </c>
      <c r="P143" t="s">
        <v>34</v>
      </c>
      <c r="Q143">
        <v>1000</v>
      </c>
      <c r="X143">
        <v>0.05</v>
      </c>
      <c r="Y143">
        <v>6513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0.05</v>
      </c>
      <c r="AH143">
        <v>2</v>
      </c>
      <c r="AI143">
        <v>39477879</v>
      </c>
      <c r="AJ143">
        <v>150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ROW(Source!A62)</f>
        <v>62</v>
      </c>
      <c r="B144">
        <v>39477880</v>
      </c>
      <c r="C144">
        <v>39477870</v>
      </c>
      <c r="D144">
        <v>36821537</v>
      </c>
      <c r="E144">
        <v>1</v>
      </c>
      <c r="F144">
        <v>1</v>
      </c>
      <c r="G144">
        <v>1</v>
      </c>
      <c r="H144">
        <v>3</v>
      </c>
      <c r="I144" t="s">
        <v>1005</v>
      </c>
      <c r="J144" t="s">
        <v>1006</v>
      </c>
      <c r="K144" t="s">
        <v>1007</v>
      </c>
      <c r="L144">
        <v>1327</v>
      </c>
      <c r="N144">
        <v>1005</v>
      </c>
      <c r="O144" t="s">
        <v>61</v>
      </c>
      <c r="P144" t="s">
        <v>61</v>
      </c>
      <c r="Q144">
        <v>1</v>
      </c>
      <c r="X144">
        <v>102</v>
      </c>
      <c r="Y144">
        <v>67.8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102</v>
      </c>
      <c r="AH144">
        <v>2</v>
      </c>
      <c r="AI144">
        <v>39477880</v>
      </c>
      <c r="AJ144">
        <v>151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ROW(Source!A62)</f>
        <v>62</v>
      </c>
      <c r="B145">
        <v>39477881</v>
      </c>
      <c r="C145">
        <v>39477870</v>
      </c>
      <c r="D145">
        <v>36837083</v>
      </c>
      <c r="E145">
        <v>1</v>
      </c>
      <c r="F145">
        <v>1</v>
      </c>
      <c r="G145">
        <v>1</v>
      </c>
      <c r="H145">
        <v>3</v>
      </c>
      <c r="I145" t="s">
        <v>1008</v>
      </c>
      <c r="J145" t="s">
        <v>1009</v>
      </c>
      <c r="K145" t="s">
        <v>1010</v>
      </c>
      <c r="L145">
        <v>1346</v>
      </c>
      <c r="N145">
        <v>1009</v>
      </c>
      <c r="O145" t="s">
        <v>217</v>
      </c>
      <c r="P145" t="s">
        <v>217</v>
      </c>
      <c r="Q145">
        <v>1</v>
      </c>
      <c r="X145">
        <v>450</v>
      </c>
      <c r="Y145">
        <v>1.37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450</v>
      </c>
      <c r="AH145">
        <v>2</v>
      </c>
      <c r="AI145">
        <v>39477881</v>
      </c>
      <c r="AJ145">
        <v>152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ROW(Source!A63)</f>
        <v>63</v>
      </c>
      <c r="B146">
        <v>39477884</v>
      </c>
      <c r="C146">
        <v>39477883</v>
      </c>
      <c r="D146">
        <v>37070495</v>
      </c>
      <c r="E146">
        <v>1</v>
      </c>
      <c r="F146">
        <v>1</v>
      </c>
      <c r="G146">
        <v>1</v>
      </c>
      <c r="H146">
        <v>1</v>
      </c>
      <c r="I146" t="s">
        <v>875</v>
      </c>
      <c r="J146" t="s">
        <v>3</v>
      </c>
      <c r="K146" t="s">
        <v>876</v>
      </c>
      <c r="L146">
        <v>1191</v>
      </c>
      <c r="N146">
        <v>1013</v>
      </c>
      <c r="O146" t="s">
        <v>796</v>
      </c>
      <c r="P146" t="s">
        <v>796</v>
      </c>
      <c r="Q146">
        <v>1</v>
      </c>
      <c r="X146">
        <v>310.42</v>
      </c>
      <c r="Y146">
        <v>0</v>
      </c>
      <c r="Z146">
        <v>0</v>
      </c>
      <c r="AA146">
        <v>0</v>
      </c>
      <c r="AB146">
        <v>8.74</v>
      </c>
      <c r="AC146">
        <v>0</v>
      </c>
      <c r="AD146">
        <v>1</v>
      </c>
      <c r="AE146">
        <v>1</v>
      </c>
      <c r="AF146" t="s">
        <v>54</v>
      </c>
      <c r="AG146">
        <v>428.37959999999998</v>
      </c>
      <c r="AH146">
        <v>2</v>
      </c>
      <c r="AI146">
        <v>39477884</v>
      </c>
      <c r="AJ146">
        <v>153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ROW(Source!A63)</f>
        <v>63</v>
      </c>
      <c r="B147">
        <v>39477885</v>
      </c>
      <c r="C147">
        <v>39477883</v>
      </c>
      <c r="D147">
        <v>37064876</v>
      </c>
      <c r="E147">
        <v>1</v>
      </c>
      <c r="F147">
        <v>1</v>
      </c>
      <c r="G147">
        <v>1</v>
      </c>
      <c r="H147">
        <v>1</v>
      </c>
      <c r="I147" t="s">
        <v>797</v>
      </c>
      <c r="J147" t="s">
        <v>3</v>
      </c>
      <c r="K147" t="s">
        <v>798</v>
      </c>
      <c r="L147">
        <v>1191</v>
      </c>
      <c r="N147">
        <v>1013</v>
      </c>
      <c r="O147" t="s">
        <v>796</v>
      </c>
      <c r="P147" t="s">
        <v>796</v>
      </c>
      <c r="Q147">
        <v>1</v>
      </c>
      <c r="X147">
        <v>1.73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53</v>
      </c>
      <c r="AG147">
        <v>2.5950000000000002</v>
      </c>
      <c r="AH147">
        <v>2</v>
      </c>
      <c r="AI147">
        <v>39477885</v>
      </c>
      <c r="AJ147">
        <v>154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ROW(Source!A63)</f>
        <v>63</v>
      </c>
      <c r="B148">
        <v>39477886</v>
      </c>
      <c r="C148">
        <v>39477883</v>
      </c>
      <c r="D148">
        <v>36882055</v>
      </c>
      <c r="E148">
        <v>1</v>
      </c>
      <c r="F148">
        <v>1</v>
      </c>
      <c r="G148">
        <v>1</v>
      </c>
      <c r="H148">
        <v>2</v>
      </c>
      <c r="I148" t="s">
        <v>1011</v>
      </c>
      <c r="J148" t="s">
        <v>1012</v>
      </c>
      <c r="K148" t="s">
        <v>1013</v>
      </c>
      <c r="L148">
        <v>1368</v>
      </c>
      <c r="N148">
        <v>1011</v>
      </c>
      <c r="O148" t="s">
        <v>802</v>
      </c>
      <c r="P148" t="s">
        <v>802</v>
      </c>
      <c r="Q148">
        <v>1</v>
      </c>
      <c r="X148">
        <v>0.02</v>
      </c>
      <c r="Y148">
        <v>0</v>
      </c>
      <c r="Z148">
        <v>83.43</v>
      </c>
      <c r="AA148">
        <v>13.5</v>
      </c>
      <c r="AB148">
        <v>0</v>
      </c>
      <c r="AC148">
        <v>0</v>
      </c>
      <c r="AD148">
        <v>1</v>
      </c>
      <c r="AE148">
        <v>0</v>
      </c>
      <c r="AF148" t="s">
        <v>53</v>
      </c>
      <c r="AG148">
        <v>0.03</v>
      </c>
      <c r="AH148">
        <v>2</v>
      </c>
      <c r="AI148">
        <v>39477886</v>
      </c>
      <c r="AJ148">
        <v>155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ROW(Source!A63)</f>
        <v>63</v>
      </c>
      <c r="B149">
        <v>39477887</v>
      </c>
      <c r="C149">
        <v>39477883</v>
      </c>
      <c r="D149">
        <v>36882157</v>
      </c>
      <c r="E149">
        <v>1</v>
      </c>
      <c r="F149">
        <v>1</v>
      </c>
      <c r="G149">
        <v>1</v>
      </c>
      <c r="H149">
        <v>2</v>
      </c>
      <c r="I149" t="s">
        <v>1014</v>
      </c>
      <c r="J149" t="s">
        <v>1015</v>
      </c>
      <c r="K149" t="s">
        <v>1016</v>
      </c>
      <c r="L149">
        <v>1368</v>
      </c>
      <c r="N149">
        <v>1011</v>
      </c>
      <c r="O149" t="s">
        <v>802</v>
      </c>
      <c r="P149" t="s">
        <v>802</v>
      </c>
      <c r="Q149">
        <v>1</v>
      </c>
      <c r="X149">
        <v>0.01</v>
      </c>
      <c r="Y149">
        <v>0</v>
      </c>
      <c r="Z149">
        <v>88.01</v>
      </c>
      <c r="AA149">
        <v>11.6</v>
      </c>
      <c r="AB149">
        <v>0</v>
      </c>
      <c r="AC149">
        <v>0</v>
      </c>
      <c r="AD149">
        <v>1</v>
      </c>
      <c r="AE149">
        <v>0</v>
      </c>
      <c r="AF149" t="s">
        <v>53</v>
      </c>
      <c r="AG149">
        <v>1.4999999999999999E-2</v>
      </c>
      <c r="AH149">
        <v>2</v>
      </c>
      <c r="AI149">
        <v>39477887</v>
      </c>
      <c r="AJ149">
        <v>156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ROW(Source!A63)</f>
        <v>63</v>
      </c>
      <c r="B150">
        <v>39477888</v>
      </c>
      <c r="C150">
        <v>39477883</v>
      </c>
      <c r="D150">
        <v>36882621</v>
      </c>
      <c r="E150">
        <v>1</v>
      </c>
      <c r="F150">
        <v>1</v>
      </c>
      <c r="G150">
        <v>1</v>
      </c>
      <c r="H150">
        <v>2</v>
      </c>
      <c r="I150" t="s">
        <v>999</v>
      </c>
      <c r="J150" t="s">
        <v>1000</v>
      </c>
      <c r="K150" t="s">
        <v>1001</v>
      </c>
      <c r="L150">
        <v>1368</v>
      </c>
      <c r="N150">
        <v>1011</v>
      </c>
      <c r="O150" t="s">
        <v>802</v>
      </c>
      <c r="P150" t="s">
        <v>802</v>
      </c>
      <c r="Q150">
        <v>1</v>
      </c>
      <c r="X150">
        <v>1.69</v>
      </c>
      <c r="Y150">
        <v>0</v>
      </c>
      <c r="Z150">
        <v>12.39</v>
      </c>
      <c r="AA150">
        <v>10.06</v>
      </c>
      <c r="AB150">
        <v>0</v>
      </c>
      <c r="AC150">
        <v>0</v>
      </c>
      <c r="AD150">
        <v>1</v>
      </c>
      <c r="AE150">
        <v>0</v>
      </c>
      <c r="AF150" t="s">
        <v>53</v>
      </c>
      <c r="AG150">
        <v>2.5349999999999997</v>
      </c>
      <c r="AH150">
        <v>2</v>
      </c>
      <c r="AI150">
        <v>39477888</v>
      </c>
      <c r="AJ150">
        <v>157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ROW(Source!A63)</f>
        <v>63</v>
      </c>
      <c r="B151">
        <v>39477889</v>
      </c>
      <c r="C151">
        <v>39477883</v>
      </c>
      <c r="D151">
        <v>36883554</v>
      </c>
      <c r="E151">
        <v>1</v>
      </c>
      <c r="F151">
        <v>1</v>
      </c>
      <c r="G151">
        <v>1</v>
      </c>
      <c r="H151">
        <v>2</v>
      </c>
      <c r="I151" t="s">
        <v>834</v>
      </c>
      <c r="J151" t="s">
        <v>835</v>
      </c>
      <c r="K151" t="s">
        <v>836</v>
      </c>
      <c r="L151">
        <v>1368</v>
      </c>
      <c r="N151">
        <v>1011</v>
      </c>
      <c r="O151" t="s">
        <v>802</v>
      </c>
      <c r="P151" t="s">
        <v>802</v>
      </c>
      <c r="Q151">
        <v>1</v>
      </c>
      <c r="X151">
        <v>0.01</v>
      </c>
      <c r="Y151">
        <v>0</v>
      </c>
      <c r="Z151">
        <v>65.709999999999994</v>
      </c>
      <c r="AA151">
        <v>11.6</v>
      </c>
      <c r="AB151">
        <v>0</v>
      </c>
      <c r="AC151">
        <v>0</v>
      </c>
      <c r="AD151">
        <v>1</v>
      </c>
      <c r="AE151">
        <v>0</v>
      </c>
      <c r="AF151" t="s">
        <v>53</v>
      </c>
      <c r="AG151">
        <v>1.4999999999999999E-2</v>
      </c>
      <c r="AH151">
        <v>2</v>
      </c>
      <c r="AI151">
        <v>39477889</v>
      </c>
      <c r="AJ151">
        <v>158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ROW(Source!A63)</f>
        <v>63</v>
      </c>
      <c r="B152">
        <v>39477890</v>
      </c>
      <c r="C152">
        <v>39477883</v>
      </c>
      <c r="D152">
        <v>36801792</v>
      </c>
      <c r="E152">
        <v>1</v>
      </c>
      <c r="F152">
        <v>1</v>
      </c>
      <c r="G152">
        <v>1</v>
      </c>
      <c r="H152">
        <v>3</v>
      </c>
      <c r="I152" t="s">
        <v>954</v>
      </c>
      <c r="J152" t="s">
        <v>955</v>
      </c>
      <c r="K152" t="s">
        <v>956</v>
      </c>
      <c r="L152">
        <v>1339</v>
      </c>
      <c r="N152">
        <v>1007</v>
      </c>
      <c r="O152" t="s">
        <v>25</v>
      </c>
      <c r="P152" t="s">
        <v>25</v>
      </c>
      <c r="Q152">
        <v>1</v>
      </c>
      <c r="X152">
        <v>0.44</v>
      </c>
      <c r="Y152">
        <v>2.44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0.44</v>
      </c>
      <c r="AH152">
        <v>2</v>
      </c>
      <c r="AI152">
        <v>39477890</v>
      </c>
      <c r="AJ152">
        <v>159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ROW(Source!A63)</f>
        <v>63</v>
      </c>
      <c r="B153">
        <v>39477891</v>
      </c>
      <c r="C153">
        <v>39477883</v>
      </c>
      <c r="D153">
        <v>36807549</v>
      </c>
      <c r="E153">
        <v>1</v>
      </c>
      <c r="F153">
        <v>1</v>
      </c>
      <c r="G153">
        <v>1</v>
      </c>
      <c r="H153">
        <v>3</v>
      </c>
      <c r="I153" t="s">
        <v>1002</v>
      </c>
      <c r="J153" t="s">
        <v>1003</v>
      </c>
      <c r="K153" t="s">
        <v>1004</v>
      </c>
      <c r="L153">
        <v>1348</v>
      </c>
      <c r="N153">
        <v>1009</v>
      </c>
      <c r="O153" t="s">
        <v>34</v>
      </c>
      <c r="P153" t="s">
        <v>34</v>
      </c>
      <c r="Q153">
        <v>1000</v>
      </c>
      <c r="X153">
        <v>1.2999999999999999E-2</v>
      </c>
      <c r="Y153">
        <v>6513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1.2999999999999999E-2</v>
      </c>
      <c r="AH153">
        <v>2</v>
      </c>
      <c r="AI153">
        <v>39477891</v>
      </c>
      <c r="AJ153">
        <v>160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ROW(Source!A63)</f>
        <v>63</v>
      </c>
      <c r="B154">
        <v>39477892</v>
      </c>
      <c r="C154">
        <v>39477883</v>
      </c>
      <c r="D154">
        <v>36821595</v>
      </c>
      <c r="E154">
        <v>1</v>
      </c>
      <c r="F154">
        <v>1</v>
      </c>
      <c r="G154">
        <v>1</v>
      </c>
      <c r="H154">
        <v>3</v>
      </c>
      <c r="I154" t="s">
        <v>187</v>
      </c>
      <c r="J154" t="s">
        <v>189</v>
      </c>
      <c r="K154" t="s">
        <v>188</v>
      </c>
      <c r="L154">
        <v>1327</v>
      </c>
      <c r="N154">
        <v>1005</v>
      </c>
      <c r="O154" t="s">
        <v>61</v>
      </c>
      <c r="P154" t="s">
        <v>61</v>
      </c>
      <c r="Q154">
        <v>1</v>
      </c>
      <c r="X154">
        <v>102</v>
      </c>
      <c r="Y154">
        <v>140.44999999999999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102</v>
      </c>
      <c r="AH154">
        <v>2</v>
      </c>
      <c r="AI154">
        <v>39477892</v>
      </c>
      <c r="AJ154">
        <v>161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ROW(Source!A63)</f>
        <v>63</v>
      </c>
      <c r="B155">
        <v>39477893</v>
      </c>
      <c r="C155">
        <v>39477883</v>
      </c>
      <c r="D155">
        <v>36797275</v>
      </c>
      <c r="E155">
        <v>17</v>
      </c>
      <c r="F155">
        <v>1</v>
      </c>
      <c r="G155">
        <v>1</v>
      </c>
      <c r="H155">
        <v>3</v>
      </c>
      <c r="I155" t="s">
        <v>223</v>
      </c>
      <c r="J155" t="s">
        <v>3</v>
      </c>
      <c r="K155" t="s">
        <v>224</v>
      </c>
      <c r="L155">
        <v>1339</v>
      </c>
      <c r="N155">
        <v>1007</v>
      </c>
      <c r="O155" t="s">
        <v>25</v>
      </c>
      <c r="P155" t="s">
        <v>25</v>
      </c>
      <c r="Q155">
        <v>1</v>
      </c>
      <c r="X155">
        <v>0.01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 t="s">
        <v>3</v>
      </c>
      <c r="AG155">
        <v>0.01</v>
      </c>
      <c r="AH155">
        <v>3</v>
      </c>
      <c r="AI155">
        <v>-1</v>
      </c>
      <c r="AJ155" t="s">
        <v>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ROW(Source!A63)</f>
        <v>63</v>
      </c>
      <c r="B156">
        <v>39477894</v>
      </c>
      <c r="C156">
        <v>39477883</v>
      </c>
      <c r="D156">
        <v>36837090</v>
      </c>
      <c r="E156">
        <v>1</v>
      </c>
      <c r="F156">
        <v>1</v>
      </c>
      <c r="G156">
        <v>1</v>
      </c>
      <c r="H156">
        <v>3</v>
      </c>
      <c r="I156" t="s">
        <v>1017</v>
      </c>
      <c r="J156" t="s">
        <v>1018</v>
      </c>
      <c r="K156" t="s">
        <v>1019</v>
      </c>
      <c r="L156">
        <v>1346</v>
      </c>
      <c r="N156">
        <v>1009</v>
      </c>
      <c r="O156" t="s">
        <v>217</v>
      </c>
      <c r="P156" t="s">
        <v>217</v>
      </c>
      <c r="Q156">
        <v>1</v>
      </c>
      <c r="X156">
        <v>1200</v>
      </c>
      <c r="Y156">
        <v>3.69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1200</v>
      </c>
      <c r="AH156">
        <v>2</v>
      </c>
      <c r="AI156">
        <v>39477894</v>
      </c>
      <c r="AJ156">
        <v>163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ROW(Source!A63)</f>
        <v>63</v>
      </c>
      <c r="B157">
        <v>39477895</v>
      </c>
      <c r="C157">
        <v>39477883</v>
      </c>
      <c r="D157">
        <v>36797079</v>
      </c>
      <c r="E157">
        <v>17</v>
      </c>
      <c r="F157">
        <v>1</v>
      </c>
      <c r="G157">
        <v>1</v>
      </c>
      <c r="H157">
        <v>3</v>
      </c>
      <c r="I157" t="s">
        <v>1245</v>
      </c>
      <c r="J157" t="s">
        <v>3</v>
      </c>
      <c r="K157" t="s">
        <v>1246</v>
      </c>
      <c r="L157">
        <v>1348</v>
      </c>
      <c r="N157">
        <v>1009</v>
      </c>
      <c r="O157" t="s">
        <v>34</v>
      </c>
      <c r="P157" t="s">
        <v>34</v>
      </c>
      <c r="Q157">
        <v>1000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1</v>
      </c>
      <c r="AD157">
        <v>0</v>
      </c>
      <c r="AE157">
        <v>0</v>
      </c>
      <c r="AF157" t="s">
        <v>3</v>
      </c>
      <c r="AG157">
        <v>0</v>
      </c>
      <c r="AH157">
        <v>3</v>
      </c>
      <c r="AI157">
        <v>-1</v>
      </c>
      <c r="AJ157" t="s">
        <v>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ROW(Source!A66)</f>
        <v>66</v>
      </c>
      <c r="B158">
        <v>39477902</v>
      </c>
      <c r="C158">
        <v>39477901</v>
      </c>
      <c r="D158">
        <v>37072767</v>
      </c>
      <c r="E158">
        <v>1</v>
      </c>
      <c r="F158">
        <v>1</v>
      </c>
      <c r="G158">
        <v>1</v>
      </c>
      <c r="H158">
        <v>1</v>
      </c>
      <c r="I158" t="s">
        <v>949</v>
      </c>
      <c r="J158" t="s">
        <v>3</v>
      </c>
      <c r="K158" t="s">
        <v>950</v>
      </c>
      <c r="L158">
        <v>1191</v>
      </c>
      <c r="N158">
        <v>1013</v>
      </c>
      <c r="O158" t="s">
        <v>796</v>
      </c>
      <c r="P158" t="s">
        <v>796</v>
      </c>
      <c r="Q158">
        <v>1</v>
      </c>
      <c r="X158">
        <v>50.15</v>
      </c>
      <c r="Y158">
        <v>0</v>
      </c>
      <c r="Z158">
        <v>0</v>
      </c>
      <c r="AA158">
        <v>0</v>
      </c>
      <c r="AB158">
        <v>9.18</v>
      </c>
      <c r="AC158">
        <v>0</v>
      </c>
      <c r="AD158">
        <v>1</v>
      </c>
      <c r="AE158">
        <v>1</v>
      </c>
      <c r="AF158" t="s">
        <v>54</v>
      </c>
      <c r="AG158">
        <v>69.206999999999994</v>
      </c>
      <c r="AH158">
        <v>2</v>
      </c>
      <c r="AI158">
        <v>39477902</v>
      </c>
      <c r="AJ158">
        <v>164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ROW(Source!A66)</f>
        <v>66</v>
      </c>
      <c r="B159">
        <v>39477903</v>
      </c>
      <c r="C159">
        <v>39477901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797</v>
      </c>
      <c r="J159" t="s">
        <v>3</v>
      </c>
      <c r="K159" t="s">
        <v>798</v>
      </c>
      <c r="L159">
        <v>1191</v>
      </c>
      <c r="N159">
        <v>1013</v>
      </c>
      <c r="O159" t="s">
        <v>796</v>
      </c>
      <c r="P159" t="s">
        <v>796</v>
      </c>
      <c r="Q159">
        <v>1</v>
      </c>
      <c r="X159">
        <v>0.87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53</v>
      </c>
      <c r="AG159">
        <v>1.3049999999999999</v>
      </c>
      <c r="AH159">
        <v>2</v>
      </c>
      <c r="AI159">
        <v>39477903</v>
      </c>
      <c r="AJ159">
        <v>165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ROW(Source!A66)</f>
        <v>66</v>
      </c>
      <c r="B160">
        <v>39477904</v>
      </c>
      <c r="C160">
        <v>39477901</v>
      </c>
      <c r="D160">
        <v>36882452</v>
      </c>
      <c r="E160">
        <v>1</v>
      </c>
      <c r="F160">
        <v>1</v>
      </c>
      <c r="G160">
        <v>1</v>
      </c>
      <c r="H160">
        <v>2</v>
      </c>
      <c r="I160" t="s">
        <v>799</v>
      </c>
      <c r="J160" t="s">
        <v>800</v>
      </c>
      <c r="K160" t="s">
        <v>801</v>
      </c>
      <c r="L160">
        <v>1368</v>
      </c>
      <c r="N160">
        <v>1011</v>
      </c>
      <c r="O160" t="s">
        <v>802</v>
      </c>
      <c r="P160" t="s">
        <v>802</v>
      </c>
      <c r="Q160">
        <v>1</v>
      </c>
      <c r="X160">
        <v>0.11</v>
      </c>
      <c r="Y160">
        <v>0</v>
      </c>
      <c r="Z160">
        <v>31.26</v>
      </c>
      <c r="AA160">
        <v>13.5</v>
      </c>
      <c r="AB160">
        <v>0</v>
      </c>
      <c r="AC160">
        <v>0</v>
      </c>
      <c r="AD160">
        <v>1</v>
      </c>
      <c r="AE160">
        <v>0</v>
      </c>
      <c r="AF160" t="s">
        <v>53</v>
      </c>
      <c r="AG160">
        <v>0.16500000000000001</v>
      </c>
      <c r="AH160">
        <v>2</v>
      </c>
      <c r="AI160">
        <v>39477904</v>
      </c>
      <c r="AJ160">
        <v>166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ROW(Source!A66)</f>
        <v>66</v>
      </c>
      <c r="B161">
        <v>39477905</v>
      </c>
      <c r="C161">
        <v>39477901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834</v>
      </c>
      <c r="J161" t="s">
        <v>835</v>
      </c>
      <c r="K161" t="s">
        <v>836</v>
      </c>
      <c r="L161">
        <v>1368</v>
      </c>
      <c r="N161">
        <v>1011</v>
      </c>
      <c r="O161" t="s">
        <v>802</v>
      </c>
      <c r="P161" t="s">
        <v>802</v>
      </c>
      <c r="Q161">
        <v>1</v>
      </c>
      <c r="X161">
        <v>0.76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53</v>
      </c>
      <c r="AG161">
        <v>1.1399999999999999</v>
      </c>
      <c r="AH161">
        <v>2</v>
      </c>
      <c r="AI161">
        <v>39477905</v>
      </c>
      <c r="AJ161">
        <v>167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ROW(Source!A66)</f>
        <v>66</v>
      </c>
      <c r="B162">
        <v>39477906</v>
      </c>
      <c r="C162">
        <v>39477901</v>
      </c>
      <c r="D162">
        <v>36797506</v>
      </c>
      <c r="E162">
        <v>17</v>
      </c>
      <c r="F162">
        <v>1</v>
      </c>
      <c r="G162">
        <v>1</v>
      </c>
      <c r="H162">
        <v>3</v>
      </c>
      <c r="I162" t="s">
        <v>220</v>
      </c>
      <c r="J162" t="s">
        <v>3</v>
      </c>
      <c r="K162" t="s">
        <v>221</v>
      </c>
      <c r="L162">
        <v>1327</v>
      </c>
      <c r="N162">
        <v>1005</v>
      </c>
      <c r="O162" t="s">
        <v>61</v>
      </c>
      <c r="P162" t="s">
        <v>61</v>
      </c>
      <c r="Q162">
        <v>1</v>
      </c>
      <c r="X162">
        <v>101.4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3</v>
      </c>
      <c r="AG162">
        <v>101.4</v>
      </c>
      <c r="AH162">
        <v>2</v>
      </c>
      <c r="AI162">
        <v>39477906</v>
      </c>
      <c r="AJ162">
        <v>168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ROW(Source!A66)</f>
        <v>66</v>
      </c>
      <c r="B163">
        <v>39477907</v>
      </c>
      <c r="C163">
        <v>39477901</v>
      </c>
      <c r="D163">
        <v>36804545</v>
      </c>
      <c r="E163">
        <v>1</v>
      </c>
      <c r="F163">
        <v>1</v>
      </c>
      <c r="G163">
        <v>1</v>
      </c>
      <c r="H163">
        <v>3</v>
      </c>
      <c r="I163" t="s">
        <v>846</v>
      </c>
      <c r="J163" t="s">
        <v>847</v>
      </c>
      <c r="K163" t="s">
        <v>848</v>
      </c>
      <c r="L163">
        <v>1348</v>
      </c>
      <c r="N163">
        <v>1009</v>
      </c>
      <c r="O163" t="s">
        <v>34</v>
      </c>
      <c r="P163" t="s">
        <v>34</v>
      </c>
      <c r="Q163">
        <v>1000</v>
      </c>
      <c r="X163">
        <v>1.1E-4</v>
      </c>
      <c r="Y163">
        <v>11978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1.1E-4</v>
      </c>
      <c r="AH163">
        <v>2</v>
      </c>
      <c r="AI163">
        <v>39477907</v>
      </c>
      <c r="AJ163">
        <v>169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ROW(Source!A66)</f>
        <v>66</v>
      </c>
      <c r="B164">
        <v>39477908</v>
      </c>
      <c r="C164">
        <v>39477901</v>
      </c>
      <c r="D164">
        <v>36804953</v>
      </c>
      <c r="E164">
        <v>1</v>
      </c>
      <c r="F164">
        <v>1</v>
      </c>
      <c r="G164">
        <v>1</v>
      </c>
      <c r="H164">
        <v>3</v>
      </c>
      <c r="I164" t="s">
        <v>1020</v>
      </c>
      <c r="J164" t="s">
        <v>1021</v>
      </c>
      <c r="K164" t="s">
        <v>1022</v>
      </c>
      <c r="L164">
        <v>1348</v>
      </c>
      <c r="N164">
        <v>1009</v>
      </c>
      <c r="O164" t="s">
        <v>34</v>
      </c>
      <c r="P164" t="s">
        <v>34</v>
      </c>
      <c r="Q164">
        <v>1000</v>
      </c>
      <c r="X164">
        <v>9.0000000000000006E-5</v>
      </c>
      <c r="Y164">
        <v>11350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9.0000000000000006E-5</v>
      </c>
      <c r="AH164">
        <v>2</v>
      </c>
      <c r="AI164">
        <v>39477908</v>
      </c>
      <c r="AJ164">
        <v>170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ROW(Source!A66)</f>
        <v>66</v>
      </c>
      <c r="B165">
        <v>39477909</v>
      </c>
      <c r="C165">
        <v>39477901</v>
      </c>
      <c r="D165">
        <v>36805188</v>
      </c>
      <c r="E165">
        <v>1</v>
      </c>
      <c r="F165">
        <v>1</v>
      </c>
      <c r="G165">
        <v>1</v>
      </c>
      <c r="H165">
        <v>3</v>
      </c>
      <c r="I165" t="s">
        <v>1023</v>
      </c>
      <c r="J165" t="s">
        <v>1024</v>
      </c>
      <c r="K165" t="s">
        <v>1025</v>
      </c>
      <c r="L165">
        <v>1327</v>
      </c>
      <c r="N165">
        <v>1005</v>
      </c>
      <c r="O165" t="s">
        <v>61</v>
      </c>
      <c r="P165" t="s">
        <v>61</v>
      </c>
      <c r="Q165">
        <v>1</v>
      </c>
      <c r="X165">
        <v>5.0000000000000001E-4</v>
      </c>
      <c r="Y165">
        <v>72.319999999999993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5.0000000000000001E-4</v>
      </c>
      <c r="AH165">
        <v>2</v>
      </c>
      <c r="AI165">
        <v>39477909</v>
      </c>
      <c r="AJ165">
        <v>171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ROW(Source!A66)</f>
        <v>66</v>
      </c>
      <c r="B166">
        <v>39477910</v>
      </c>
      <c r="C166">
        <v>39477901</v>
      </c>
      <c r="D166">
        <v>36805524</v>
      </c>
      <c r="E166">
        <v>1</v>
      </c>
      <c r="F166">
        <v>1</v>
      </c>
      <c r="G166">
        <v>1</v>
      </c>
      <c r="H166">
        <v>3</v>
      </c>
      <c r="I166" t="s">
        <v>960</v>
      </c>
      <c r="J166" t="s">
        <v>961</v>
      </c>
      <c r="K166" t="s">
        <v>962</v>
      </c>
      <c r="L166">
        <v>1346</v>
      </c>
      <c r="N166">
        <v>1009</v>
      </c>
      <c r="O166" t="s">
        <v>217</v>
      </c>
      <c r="P166" t="s">
        <v>217</v>
      </c>
      <c r="Q166">
        <v>1</v>
      </c>
      <c r="X166">
        <v>0.25</v>
      </c>
      <c r="Y166">
        <v>1.82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0.25</v>
      </c>
      <c r="AH166">
        <v>2</v>
      </c>
      <c r="AI166">
        <v>39477910</v>
      </c>
      <c r="AJ166">
        <v>172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ROW(Source!A66)</f>
        <v>66</v>
      </c>
      <c r="B167">
        <v>39477911</v>
      </c>
      <c r="C167">
        <v>39477901</v>
      </c>
      <c r="D167">
        <v>36830316</v>
      </c>
      <c r="E167">
        <v>1</v>
      </c>
      <c r="F167">
        <v>1</v>
      </c>
      <c r="G167">
        <v>1</v>
      </c>
      <c r="H167">
        <v>3</v>
      </c>
      <c r="I167" t="s">
        <v>1026</v>
      </c>
      <c r="J167" t="s">
        <v>1027</v>
      </c>
      <c r="K167" t="s">
        <v>1028</v>
      </c>
      <c r="L167">
        <v>1339</v>
      </c>
      <c r="N167">
        <v>1007</v>
      </c>
      <c r="O167" t="s">
        <v>25</v>
      </c>
      <c r="P167" t="s">
        <v>25</v>
      </c>
      <c r="Q167">
        <v>1</v>
      </c>
      <c r="X167">
        <v>5.0000000000000001E-3</v>
      </c>
      <c r="Y167">
        <v>1056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5.0000000000000001E-3</v>
      </c>
      <c r="AH167">
        <v>2</v>
      </c>
      <c r="AI167">
        <v>39477911</v>
      </c>
      <c r="AJ167">
        <v>173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ROW(Source!A66)</f>
        <v>66</v>
      </c>
      <c r="B168">
        <v>39477912</v>
      </c>
      <c r="C168">
        <v>39477901</v>
      </c>
      <c r="D168">
        <v>36797275</v>
      </c>
      <c r="E168">
        <v>17</v>
      </c>
      <c r="F168">
        <v>1</v>
      </c>
      <c r="G168">
        <v>1</v>
      </c>
      <c r="H168">
        <v>3</v>
      </c>
      <c r="I168" t="s">
        <v>223</v>
      </c>
      <c r="J168" t="s">
        <v>3</v>
      </c>
      <c r="K168" t="s">
        <v>224</v>
      </c>
      <c r="L168">
        <v>1339</v>
      </c>
      <c r="N168">
        <v>1007</v>
      </c>
      <c r="O168" t="s">
        <v>25</v>
      </c>
      <c r="P168" t="s">
        <v>25</v>
      </c>
      <c r="Q168">
        <v>1</v>
      </c>
      <c r="X168">
        <v>0.03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3</v>
      </c>
      <c r="AG168">
        <v>0.03</v>
      </c>
      <c r="AH168">
        <v>2</v>
      </c>
      <c r="AI168">
        <v>39477912</v>
      </c>
      <c r="AJ168">
        <v>174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ROW(Source!A66)</f>
        <v>66</v>
      </c>
      <c r="B169">
        <v>39477913</v>
      </c>
      <c r="C169">
        <v>39477901</v>
      </c>
      <c r="D169">
        <v>36797510</v>
      </c>
      <c r="E169">
        <v>17</v>
      </c>
      <c r="F169">
        <v>1</v>
      </c>
      <c r="G169">
        <v>1</v>
      </c>
      <c r="H169">
        <v>3</v>
      </c>
      <c r="I169" t="s">
        <v>226</v>
      </c>
      <c r="J169" t="s">
        <v>3</v>
      </c>
      <c r="K169" t="s">
        <v>212</v>
      </c>
      <c r="L169">
        <v>1301</v>
      </c>
      <c r="N169">
        <v>1003</v>
      </c>
      <c r="O169" t="s">
        <v>74</v>
      </c>
      <c r="P169" t="s">
        <v>74</v>
      </c>
      <c r="Q169">
        <v>1</v>
      </c>
      <c r="X169">
        <v>88.21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 t="s">
        <v>3</v>
      </c>
      <c r="AG169">
        <v>88.21</v>
      </c>
      <c r="AH169">
        <v>2</v>
      </c>
      <c r="AI169">
        <v>39477913</v>
      </c>
      <c r="AJ169">
        <v>177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ROW(Source!A66)</f>
        <v>66</v>
      </c>
      <c r="B170">
        <v>39477914</v>
      </c>
      <c r="C170">
        <v>39477901</v>
      </c>
      <c r="D170">
        <v>36797509</v>
      </c>
      <c r="E170">
        <v>17</v>
      </c>
      <c r="F170">
        <v>1</v>
      </c>
      <c r="G170">
        <v>1</v>
      </c>
      <c r="H170">
        <v>3</v>
      </c>
      <c r="I170" t="s">
        <v>226</v>
      </c>
      <c r="J170" t="s">
        <v>3</v>
      </c>
      <c r="K170" t="s">
        <v>208</v>
      </c>
      <c r="L170">
        <v>1301</v>
      </c>
      <c r="N170">
        <v>1003</v>
      </c>
      <c r="O170" t="s">
        <v>74</v>
      </c>
      <c r="P170" t="s">
        <v>74</v>
      </c>
      <c r="Q170">
        <v>1</v>
      </c>
      <c r="X170">
        <v>40.4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40.4</v>
      </c>
      <c r="AH170">
        <v>2</v>
      </c>
      <c r="AI170">
        <v>39477914</v>
      </c>
      <c r="AJ170">
        <v>178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ROW(Source!A66)</f>
        <v>66</v>
      </c>
      <c r="B171">
        <v>39477915</v>
      </c>
      <c r="C171">
        <v>39477901</v>
      </c>
      <c r="D171">
        <v>36797439</v>
      </c>
      <c r="E171">
        <v>17</v>
      </c>
      <c r="F171">
        <v>1</v>
      </c>
      <c r="G171">
        <v>1</v>
      </c>
      <c r="H171">
        <v>3</v>
      </c>
      <c r="I171" t="s">
        <v>229</v>
      </c>
      <c r="J171" t="s">
        <v>3</v>
      </c>
      <c r="K171" t="s">
        <v>230</v>
      </c>
      <c r="L171">
        <v>1346</v>
      </c>
      <c r="N171">
        <v>1009</v>
      </c>
      <c r="O171" t="s">
        <v>217</v>
      </c>
      <c r="P171" t="s">
        <v>217</v>
      </c>
      <c r="Q171">
        <v>1</v>
      </c>
      <c r="X171">
        <v>0.36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0.36</v>
      </c>
      <c r="AH171">
        <v>2</v>
      </c>
      <c r="AI171">
        <v>39477915</v>
      </c>
      <c r="AJ171">
        <v>182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ROW(Source!A66)</f>
        <v>66</v>
      </c>
      <c r="B172">
        <v>39477916</v>
      </c>
      <c r="C172">
        <v>39477901</v>
      </c>
      <c r="D172">
        <v>36838972</v>
      </c>
      <c r="E172">
        <v>1</v>
      </c>
      <c r="F172">
        <v>1</v>
      </c>
      <c r="G172">
        <v>1</v>
      </c>
      <c r="H172">
        <v>3</v>
      </c>
      <c r="I172" t="s">
        <v>1029</v>
      </c>
      <c r="J172" t="s">
        <v>1030</v>
      </c>
      <c r="K172" t="s">
        <v>1031</v>
      </c>
      <c r="L172">
        <v>1348</v>
      </c>
      <c r="N172">
        <v>1009</v>
      </c>
      <c r="O172" t="s">
        <v>34</v>
      </c>
      <c r="P172" t="s">
        <v>34</v>
      </c>
      <c r="Q172">
        <v>1000</v>
      </c>
      <c r="X172">
        <v>3.2599999999999999E-3</v>
      </c>
      <c r="Y172">
        <v>15255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3.2599999999999999E-3</v>
      </c>
      <c r="AH172">
        <v>2</v>
      </c>
      <c r="AI172">
        <v>39477916</v>
      </c>
      <c r="AJ172">
        <v>183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ROW(Source!A77)</f>
        <v>77</v>
      </c>
      <c r="B173">
        <v>39477932</v>
      </c>
      <c r="C173">
        <v>39477931</v>
      </c>
      <c r="D173">
        <v>37072767</v>
      </c>
      <c r="E173">
        <v>1</v>
      </c>
      <c r="F173">
        <v>1</v>
      </c>
      <c r="G173">
        <v>1</v>
      </c>
      <c r="H173">
        <v>1</v>
      </c>
      <c r="I173" t="s">
        <v>949</v>
      </c>
      <c r="J173" t="s">
        <v>3</v>
      </c>
      <c r="K173" t="s">
        <v>950</v>
      </c>
      <c r="L173">
        <v>1191</v>
      </c>
      <c r="N173">
        <v>1013</v>
      </c>
      <c r="O173" t="s">
        <v>796</v>
      </c>
      <c r="P173" t="s">
        <v>796</v>
      </c>
      <c r="Q173">
        <v>1</v>
      </c>
      <c r="X173">
        <v>77.180000000000007</v>
      </c>
      <c r="Y173">
        <v>0</v>
      </c>
      <c r="Z173">
        <v>0</v>
      </c>
      <c r="AA173">
        <v>0</v>
      </c>
      <c r="AB173">
        <v>9.18</v>
      </c>
      <c r="AC173">
        <v>0</v>
      </c>
      <c r="AD173">
        <v>1</v>
      </c>
      <c r="AE173">
        <v>1</v>
      </c>
      <c r="AF173" t="s">
        <v>54</v>
      </c>
      <c r="AG173">
        <v>106.50840000000001</v>
      </c>
      <c r="AH173">
        <v>2</v>
      </c>
      <c r="AI173">
        <v>39477932</v>
      </c>
      <c r="AJ173">
        <v>184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ROW(Source!A77)</f>
        <v>77</v>
      </c>
      <c r="B174">
        <v>39477933</v>
      </c>
      <c r="C174">
        <v>39477931</v>
      </c>
      <c r="D174">
        <v>37064876</v>
      </c>
      <c r="E174">
        <v>1</v>
      </c>
      <c r="F174">
        <v>1</v>
      </c>
      <c r="G174">
        <v>1</v>
      </c>
      <c r="H174">
        <v>1</v>
      </c>
      <c r="I174" t="s">
        <v>797</v>
      </c>
      <c r="J174" t="s">
        <v>3</v>
      </c>
      <c r="K174" t="s">
        <v>798</v>
      </c>
      <c r="L174">
        <v>1191</v>
      </c>
      <c r="N174">
        <v>1013</v>
      </c>
      <c r="O174" t="s">
        <v>796</v>
      </c>
      <c r="P174" t="s">
        <v>796</v>
      </c>
      <c r="Q174">
        <v>1</v>
      </c>
      <c r="X174">
        <v>1.1100000000000001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53</v>
      </c>
      <c r="AG174">
        <v>1.6650000000000003</v>
      </c>
      <c r="AH174">
        <v>2</v>
      </c>
      <c r="AI174">
        <v>39477933</v>
      </c>
      <c r="AJ174">
        <v>185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ROW(Source!A77)</f>
        <v>77</v>
      </c>
      <c r="B175">
        <v>39477934</v>
      </c>
      <c r="C175">
        <v>39477931</v>
      </c>
      <c r="D175">
        <v>36882452</v>
      </c>
      <c r="E175">
        <v>1</v>
      </c>
      <c r="F175">
        <v>1</v>
      </c>
      <c r="G175">
        <v>1</v>
      </c>
      <c r="H175">
        <v>2</v>
      </c>
      <c r="I175" t="s">
        <v>799</v>
      </c>
      <c r="J175" t="s">
        <v>800</v>
      </c>
      <c r="K175" t="s">
        <v>801</v>
      </c>
      <c r="L175">
        <v>1368</v>
      </c>
      <c r="N175">
        <v>1011</v>
      </c>
      <c r="O175" t="s">
        <v>802</v>
      </c>
      <c r="P175" t="s">
        <v>802</v>
      </c>
      <c r="Q175">
        <v>1</v>
      </c>
      <c r="X175">
        <v>0.15</v>
      </c>
      <c r="Y175">
        <v>0</v>
      </c>
      <c r="Z175">
        <v>31.26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53</v>
      </c>
      <c r="AG175">
        <v>0.22499999999999998</v>
      </c>
      <c r="AH175">
        <v>2</v>
      </c>
      <c r="AI175">
        <v>39477934</v>
      </c>
      <c r="AJ175">
        <v>186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ROW(Source!A77)</f>
        <v>77</v>
      </c>
      <c r="B176">
        <v>39477935</v>
      </c>
      <c r="C176">
        <v>39477931</v>
      </c>
      <c r="D176">
        <v>36883554</v>
      </c>
      <c r="E176">
        <v>1</v>
      </c>
      <c r="F176">
        <v>1</v>
      </c>
      <c r="G176">
        <v>1</v>
      </c>
      <c r="H176">
        <v>2</v>
      </c>
      <c r="I176" t="s">
        <v>834</v>
      </c>
      <c r="J176" t="s">
        <v>835</v>
      </c>
      <c r="K176" t="s">
        <v>836</v>
      </c>
      <c r="L176">
        <v>1368</v>
      </c>
      <c r="N176">
        <v>1011</v>
      </c>
      <c r="O176" t="s">
        <v>802</v>
      </c>
      <c r="P176" t="s">
        <v>802</v>
      </c>
      <c r="Q176">
        <v>1</v>
      </c>
      <c r="X176">
        <v>0.96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53</v>
      </c>
      <c r="AG176">
        <v>1.44</v>
      </c>
      <c r="AH176">
        <v>2</v>
      </c>
      <c r="AI176">
        <v>39477935</v>
      </c>
      <c r="AJ176">
        <v>187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ROW(Source!A77)</f>
        <v>77</v>
      </c>
      <c r="B177">
        <v>39477936</v>
      </c>
      <c r="C177">
        <v>39477931</v>
      </c>
      <c r="D177">
        <v>36797506</v>
      </c>
      <c r="E177">
        <v>17</v>
      </c>
      <c r="F177">
        <v>1</v>
      </c>
      <c r="G177">
        <v>1</v>
      </c>
      <c r="H177">
        <v>3</v>
      </c>
      <c r="I177" t="s">
        <v>220</v>
      </c>
      <c r="J177" t="s">
        <v>3</v>
      </c>
      <c r="K177" t="s">
        <v>221</v>
      </c>
      <c r="L177">
        <v>1327</v>
      </c>
      <c r="N177">
        <v>1005</v>
      </c>
      <c r="O177" t="s">
        <v>61</v>
      </c>
      <c r="P177" t="s">
        <v>61</v>
      </c>
      <c r="Q177">
        <v>1</v>
      </c>
      <c r="X177">
        <v>103.7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 t="s">
        <v>3</v>
      </c>
      <c r="AG177">
        <v>103.7</v>
      </c>
      <c r="AH177">
        <v>2</v>
      </c>
      <c r="AI177">
        <v>39477936</v>
      </c>
      <c r="AJ177">
        <v>188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ROW(Source!A77)</f>
        <v>77</v>
      </c>
      <c r="B178">
        <v>39477937</v>
      </c>
      <c r="C178">
        <v>39477931</v>
      </c>
      <c r="D178">
        <v>36804545</v>
      </c>
      <c r="E178">
        <v>1</v>
      </c>
      <c r="F178">
        <v>1</v>
      </c>
      <c r="G178">
        <v>1</v>
      </c>
      <c r="H178">
        <v>3</v>
      </c>
      <c r="I178" t="s">
        <v>846</v>
      </c>
      <c r="J178" t="s">
        <v>847</v>
      </c>
      <c r="K178" t="s">
        <v>848</v>
      </c>
      <c r="L178">
        <v>1348</v>
      </c>
      <c r="N178">
        <v>1009</v>
      </c>
      <c r="O178" t="s">
        <v>34</v>
      </c>
      <c r="P178" t="s">
        <v>34</v>
      </c>
      <c r="Q178">
        <v>1000</v>
      </c>
      <c r="X178">
        <v>5.7000000000000002E-3</v>
      </c>
      <c r="Y178">
        <v>11978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5.7000000000000002E-3</v>
      </c>
      <c r="AH178">
        <v>2</v>
      </c>
      <c r="AI178">
        <v>39477937</v>
      </c>
      <c r="AJ178">
        <v>189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ROW(Source!A77)</f>
        <v>77</v>
      </c>
      <c r="B179">
        <v>39477938</v>
      </c>
      <c r="C179">
        <v>39477931</v>
      </c>
      <c r="D179">
        <v>36804953</v>
      </c>
      <c r="E179">
        <v>1</v>
      </c>
      <c r="F179">
        <v>1</v>
      </c>
      <c r="G179">
        <v>1</v>
      </c>
      <c r="H179">
        <v>3</v>
      </c>
      <c r="I179" t="s">
        <v>1020</v>
      </c>
      <c r="J179" t="s">
        <v>1021</v>
      </c>
      <c r="K179" t="s">
        <v>1022</v>
      </c>
      <c r="L179">
        <v>1348</v>
      </c>
      <c r="N179">
        <v>1009</v>
      </c>
      <c r="O179" t="s">
        <v>34</v>
      </c>
      <c r="P179" t="s">
        <v>34</v>
      </c>
      <c r="Q179">
        <v>1000</v>
      </c>
      <c r="X179">
        <v>1.9E-3</v>
      </c>
      <c r="Y179">
        <v>11350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1.9E-3</v>
      </c>
      <c r="AH179">
        <v>2</v>
      </c>
      <c r="AI179">
        <v>39477938</v>
      </c>
      <c r="AJ179">
        <v>190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ROW(Source!A77)</f>
        <v>77</v>
      </c>
      <c r="B180">
        <v>39477939</v>
      </c>
      <c r="C180">
        <v>39477931</v>
      </c>
      <c r="D180">
        <v>36830004</v>
      </c>
      <c r="E180">
        <v>1</v>
      </c>
      <c r="F180">
        <v>1</v>
      </c>
      <c r="G180">
        <v>1</v>
      </c>
      <c r="H180">
        <v>3</v>
      </c>
      <c r="I180" t="s">
        <v>1032</v>
      </c>
      <c r="J180" t="s">
        <v>1033</v>
      </c>
      <c r="K180" t="s">
        <v>1034</v>
      </c>
      <c r="L180">
        <v>1301</v>
      </c>
      <c r="N180">
        <v>1003</v>
      </c>
      <c r="O180" t="s">
        <v>74</v>
      </c>
      <c r="P180" t="s">
        <v>74</v>
      </c>
      <c r="Q180">
        <v>1</v>
      </c>
      <c r="X180">
        <v>243</v>
      </c>
      <c r="Y180">
        <v>3.18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243</v>
      </c>
      <c r="AH180">
        <v>2</v>
      </c>
      <c r="AI180">
        <v>39477939</v>
      </c>
      <c r="AJ180">
        <v>191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ROW(Source!A77)</f>
        <v>77</v>
      </c>
      <c r="B181">
        <v>39477940</v>
      </c>
      <c r="C181">
        <v>39477931</v>
      </c>
      <c r="D181">
        <v>36830316</v>
      </c>
      <c r="E181">
        <v>1</v>
      </c>
      <c r="F181">
        <v>1</v>
      </c>
      <c r="G181">
        <v>1</v>
      </c>
      <c r="H181">
        <v>3</v>
      </c>
      <c r="I181" t="s">
        <v>1026</v>
      </c>
      <c r="J181" t="s">
        <v>1027</v>
      </c>
      <c r="K181" t="s">
        <v>1028</v>
      </c>
      <c r="L181">
        <v>1339</v>
      </c>
      <c r="N181">
        <v>1007</v>
      </c>
      <c r="O181" t="s">
        <v>25</v>
      </c>
      <c r="P181" t="s">
        <v>25</v>
      </c>
      <c r="Q181">
        <v>1</v>
      </c>
      <c r="X181">
        <v>6.0000000000000001E-3</v>
      </c>
      <c r="Y181">
        <v>1056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6.0000000000000001E-3</v>
      </c>
      <c r="AH181">
        <v>2</v>
      </c>
      <c r="AI181">
        <v>39477940</v>
      </c>
      <c r="AJ181">
        <v>192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ROW(Source!A77)</f>
        <v>77</v>
      </c>
      <c r="B182">
        <v>39477941</v>
      </c>
      <c r="C182">
        <v>39477931</v>
      </c>
      <c r="D182">
        <v>36797275</v>
      </c>
      <c r="E182">
        <v>17</v>
      </c>
      <c r="F182">
        <v>1</v>
      </c>
      <c r="G182">
        <v>1</v>
      </c>
      <c r="H182">
        <v>3</v>
      </c>
      <c r="I182" t="s">
        <v>223</v>
      </c>
      <c r="J182" t="s">
        <v>3</v>
      </c>
      <c r="K182" t="s">
        <v>224</v>
      </c>
      <c r="L182">
        <v>1339</v>
      </c>
      <c r="N182">
        <v>1007</v>
      </c>
      <c r="O182" t="s">
        <v>25</v>
      </c>
      <c r="P182" t="s">
        <v>25</v>
      </c>
      <c r="Q182">
        <v>1</v>
      </c>
      <c r="X182">
        <v>7.3999999999999996E-2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 t="s">
        <v>3</v>
      </c>
      <c r="AG182">
        <v>7.3999999999999996E-2</v>
      </c>
      <c r="AH182">
        <v>3</v>
      </c>
      <c r="AI182">
        <v>-1</v>
      </c>
      <c r="AJ182" t="s">
        <v>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ROW(Source!A77)</f>
        <v>77</v>
      </c>
      <c r="B183">
        <v>39477942</v>
      </c>
      <c r="C183">
        <v>39477931</v>
      </c>
      <c r="D183">
        <v>36838972</v>
      </c>
      <c r="E183">
        <v>1</v>
      </c>
      <c r="F183">
        <v>1</v>
      </c>
      <c r="G183">
        <v>1</v>
      </c>
      <c r="H183">
        <v>3</v>
      </c>
      <c r="I183" t="s">
        <v>1029</v>
      </c>
      <c r="J183" t="s">
        <v>1030</v>
      </c>
      <c r="K183" t="s">
        <v>1031</v>
      </c>
      <c r="L183">
        <v>1348</v>
      </c>
      <c r="N183">
        <v>1009</v>
      </c>
      <c r="O183" t="s">
        <v>34</v>
      </c>
      <c r="P183" t="s">
        <v>34</v>
      </c>
      <c r="Q183">
        <v>1000</v>
      </c>
      <c r="X183">
        <v>7.9399999999999991E-3</v>
      </c>
      <c r="Y183">
        <v>15255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7.9399999999999991E-3</v>
      </c>
      <c r="AH183">
        <v>2</v>
      </c>
      <c r="AI183">
        <v>39477942</v>
      </c>
      <c r="AJ183">
        <v>194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ROW(Source!A80)</f>
        <v>80</v>
      </c>
      <c r="B184">
        <v>39477975</v>
      </c>
      <c r="C184">
        <v>39477974</v>
      </c>
      <c r="D184">
        <v>37069580</v>
      </c>
      <c r="E184">
        <v>1</v>
      </c>
      <c r="F184">
        <v>1</v>
      </c>
      <c r="G184">
        <v>1</v>
      </c>
      <c r="H184">
        <v>1</v>
      </c>
      <c r="I184" t="s">
        <v>1035</v>
      </c>
      <c r="J184" t="s">
        <v>3</v>
      </c>
      <c r="K184" t="s">
        <v>1036</v>
      </c>
      <c r="L184">
        <v>1191</v>
      </c>
      <c r="N184">
        <v>1013</v>
      </c>
      <c r="O184" t="s">
        <v>796</v>
      </c>
      <c r="P184" t="s">
        <v>796</v>
      </c>
      <c r="Q184">
        <v>1</v>
      </c>
      <c r="X184">
        <v>36.25</v>
      </c>
      <c r="Y184">
        <v>0</v>
      </c>
      <c r="Z184">
        <v>0</v>
      </c>
      <c r="AA184">
        <v>0</v>
      </c>
      <c r="AB184">
        <v>8.64</v>
      </c>
      <c r="AC184">
        <v>0</v>
      </c>
      <c r="AD184">
        <v>1</v>
      </c>
      <c r="AE184">
        <v>1</v>
      </c>
      <c r="AF184" t="s">
        <v>3</v>
      </c>
      <c r="AG184">
        <v>36.25</v>
      </c>
      <c r="AH184">
        <v>2</v>
      </c>
      <c r="AI184">
        <v>39477975</v>
      </c>
      <c r="AJ184">
        <v>195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ROW(Source!A80)</f>
        <v>80</v>
      </c>
      <c r="B185">
        <v>39477976</v>
      </c>
      <c r="C185">
        <v>39477974</v>
      </c>
      <c r="D185">
        <v>37064876</v>
      </c>
      <c r="E185">
        <v>1</v>
      </c>
      <c r="F185">
        <v>1</v>
      </c>
      <c r="G185">
        <v>1</v>
      </c>
      <c r="H185">
        <v>1</v>
      </c>
      <c r="I185" t="s">
        <v>797</v>
      </c>
      <c r="J185" t="s">
        <v>3</v>
      </c>
      <c r="K185" t="s">
        <v>798</v>
      </c>
      <c r="L185">
        <v>1191</v>
      </c>
      <c r="N185">
        <v>1013</v>
      </c>
      <c r="O185" t="s">
        <v>796</v>
      </c>
      <c r="P185" t="s">
        <v>796</v>
      </c>
      <c r="Q185">
        <v>1</v>
      </c>
      <c r="X185">
        <v>0.16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2</v>
      </c>
      <c r="AF185" t="s">
        <v>3</v>
      </c>
      <c r="AG185">
        <v>0.16</v>
      </c>
      <c r="AH185">
        <v>2</v>
      </c>
      <c r="AI185">
        <v>39477976</v>
      </c>
      <c r="AJ185">
        <v>196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ROW(Source!A80)</f>
        <v>80</v>
      </c>
      <c r="B186">
        <v>39477977</v>
      </c>
      <c r="C186">
        <v>39477974</v>
      </c>
      <c r="D186">
        <v>36882452</v>
      </c>
      <c r="E186">
        <v>1</v>
      </c>
      <c r="F186">
        <v>1</v>
      </c>
      <c r="G186">
        <v>1</v>
      </c>
      <c r="H186">
        <v>2</v>
      </c>
      <c r="I186" t="s">
        <v>799</v>
      </c>
      <c r="J186" t="s">
        <v>800</v>
      </c>
      <c r="K186" t="s">
        <v>801</v>
      </c>
      <c r="L186">
        <v>1368</v>
      </c>
      <c r="N186">
        <v>1011</v>
      </c>
      <c r="O186" t="s">
        <v>802</v>
      </c>
      <c r="P186" t="s">
        <v>802</v>
      </c>
      <c r="Q186">
        <v>1</v>
      </c>
      <c r="X186">
        <v>0.1</v>
      </c>
      <c r="Y186">
        <v>0</v>
      </c>
      <c r="Z186">
        <v>31.26</v>
      </c>
      <c r="AA186">
        <v>13.5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0.1</v>
      </c>
      <c r="AH186">
        <v>2</v>
      </c>
      <c r="AI186">
        <v>39477977</v>
      </c>
      <c r="AJ186">
        <v>197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ROW(Source!A80)</f>
        <v>80</v>
      </c>
      <c r="B187">
        <v>39477978</v>
      </c>
      <c r="C187">
        <v>39477974</v>
      </c>
      <c r="D187">
        <v>36883554</v>
      </c>
      <c r="E187">
        <v>1</v>
      </c>
      <c r="F187">
        <v>1</v>
      </c>
      <c r="G187">
        <v>1</v>
      </c>
      <c r="H187">
        <v>2</v>
      </c>
      <c r="I187" t="s">
        <v>834</v>
      </c>
      <c r="J187" t="s">
        <v>835</v>
      </c>
      <c r="K187" t="s">
        <v>836</v>
      </c>
      <c r="L187">
        <v>1368</v>
      </c>
      <c r="N187">
        <v>1011</v>
      </c>
      <c r="O187" t="s">
        <v>802</v>
      </c>
      <c r="P187" t="s">
        <v>802</v>
      </c>
      <c r="Q187">
        <v>1</v>
      </c>
      <c r="X187">
        <v>0.06</v>
      </c>
      <c r="Y187">
        <v>0</v>
      </c>
      <c r="Z187">
        <v>65.709999999999994</v>
      </c>
      <c r="AA187">
        <v>11.6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0.06</v>
      </c>
      <c r="AH187">
        <v>2</v>
      </c>
      <c r="AI187">
        <v>39477978</v>
      </c>
      <c r="AJ187">
        <v>198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ROW(Source!A80)</f>
        <v>80</v>
      </c>
      <c r="B188">
        <v>39477979</v>
      </c>
      <c r="C188">
        <v>39477974</v>
      </c>
      <c r="D188">
        <v>36801792</v>
      </c>
      <c r="E188">
        <v>1</v>
      </c>
      <c r="F188">
        <v>1</v>
      </c>
      <c r="G188">
        <v>1</v>
      </c>
      <c r="H188">
        <v>3</v>
      </c>
      <c r="I188" t="s">
        <v>954</v>
      </c>
      <c r="J188" t="s">
        <v>955</v>
      </c>
      <c r="K188" t="s">
        <v>956</v>
      </c>
      <c r="L188">
        <v>1339</v>
      </c>
      <c r="N188">
        <v>1007</v>
      </c>
      <c r="O188" t="s">
        <v>25</v>
      </c>
      <c r="P188" t="s">
        <v>25</v>
      </c>
      <c r="Q188">
        <v>1</v>
      </c>
      <c r="X188">
        <v>0.24</v>
      </c>
      <c r="Y188">
        <v>2.44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0.24</v>
      </c>
      <c r="AH188">
        <v>2</v>
      </c>
      <c r="AI188">
        <v>39477979</v>
      </c>
      <c r="AJ188">
        <v>199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ROW(Source!A80)</f>
        <v>80</v>
      </c>
      <c r="B189">
        <v>39477980</v>
      </c>
      <c r="C189">
        <v>39477974</v>
      </c>
      <c r="D189">
        <v>36802272</v>
      </c>
      <c r="E189">
        <v>1</v>
      </c>
      <c r="F189">
        <v>1</v>
      </c>
      <c r="G189">
        <v>1</v>
      </c>
      <c r="H189">
        <v>3</v>
      </c>
      <c r="I189" t="s">
        <v>1037</v>
      </c>
      <c r="J189" t="s">
        <v>1038</v>
      </c>
      <c r="K189" t="s">
        <v>1039</v>
      </c>
      <c r="L189">
        <v>1354</v>
      </c>
      <c r="N189">
        <v>1010</v>
      </c>
      <c r="O189" t="s">
        <v>415</v>
      </c>
      <c r="P189" t="s">
        <v>415</v>
      </c>
      <c r="Q189">
        <v>1</v>
      </c>
      <c r="X189">
        <v>3.2</v>
      </c>
      <c r="Y189">
        <v>4.5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3.2</v>
      </c>
      <c r="AH189">
        <v>2</v>
      </c>
      <c r="AI189">
        <v>39477980</v>
      </c>
      <c r="AJ189">
        <v>200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ROW(Source!A80)</f>
        <v>80</v>
      </c>
      <c r="B190">
        <v>39477981</v>
      </c>
      <c r="C190">
        <v>39477974</v>
      </c>
      <c r="D190">
        <v>36802521</v>
      </c>
      <c r="E190">
        <v>1</v>
      </c>
      <c r="F190">
        <v>1</v>
      </c>
      <c r="G190">
        <v>1</v>
      </c>
      <c r="H190">
        <v>3</v>
      </c>
      <c r="I190" t="s">
        <v>1040</v>
      </c>
      <c r="J190" t="s">
        <v>1041</v>
      </c>
      <c r="K190" t="s">
        <v>1042</v>
      </c>
      <c r="L190">
        <v>1348</v>
      </c>
      <c r="N190">
        <v>1009</v>
      </c>
      <c r="O190" t="s">
        <v>34</v>
      </c>
      <c r="P190" t="s">
        <v>34</v>
      </c>
      <c r="Q190">
        <v>1000</v>
      </c>
      <c r="X190">
        <v>1.2E-2</v>
      </c>
      <c r="Y190">
        <v>586.47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1.2E-2</v>
      </c>
      <c r="AH190">
        <v>2</v>
      </c>
      <c r="AI190">
        <v>39477981</v>
      </c>
      <c r="AJ190">
        <v>201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ROW(Source!A80)</f>
        <v>80</v>
      </c>
      <c r="B191">
        <v>39477982</v>
      </c>
      <c r="C191">
        <v>39477974</v>
      </c>
      <c r="D191">
        <v>36805188</v>
      </c>
      <c r="E191">
        <v>1</v>
      </c>
      <c r="F191">
        <v>1</v>
      </c>
      <c r="G191">
        <v>1</v>
      </c>
      <c r="H191">
        <v>3</v>
      </c>
      <c r="I191" t="s">
        <v>1023</v>
      </c>
      <c r="J191" t="s">
        <v>1024</v>
      </c>
      <c r="K191" t="s">
        <v>1025</v>
      </c>
      <c r="L191">
        <v>1327</v>
      </c>
      <c r="N191">
        <v>1005</v>
      </c>
      <c r="O191" t="s">
        <v>61</v>
      </c>
      <c r="P191" t="s">
        <v>61</v>
      </c>
      <c r="Q191">
        <v>1</v>
      </c>
      <c r="X191">
        <v>1.6</v>
      </c>
      <c r="Y191">
        <v>72.319999999999993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1.6</v>
      </c>
      <c r="AH191">
        <v>2</v>
      </c>
      <c r="AI191">
        <v>39477982</v>
      </c>
      <c r="AJ191">
        <v>202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ROW(Source!A80)</f>
        <v>80</v>
      </c>
      <c r="B192">
        <v>39477983</v>
      </c>
      <c r="C192">
        <v>39477974</v>
      </c>
      <c r="D192">
        <v>36806413</v>
      </c>
      <c r="E192">
        <v>1</v>
      </c>
      <c r="F192">
        <v>1</v>
      </c>
      <c r="G192">
        <v>1</v>
      </c>
      <c r="H192">
        <v>3</v>
      </c>
      <c r="I192" t="s">
        <v>1043</v>
      </c>
      <c r="J192" t="s">
        <v>1044</v>
      </c>
      <c r="K192" t="s">
        <v>1045</v>
      </c>
      <c r="L192">
        <v>1339</v>
      </c>
      <c r="N192">
        <v>1007</v>
      </c>
      <c r="O192" t="s">
        <v>25</v>
      </c>
      <c r="P192" t="s">
        <v>25</v>
      </c>
      <c r="Q192">
        <v>1</v>
      </c>
      <c r="X192">
        <v>4.4000000000000003E-3</v>
      </c>
      <c r="Y192">
        <v>74.58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4.4000000000000003E-3</v>
      </c>
      <c r="AH192">
        <v>2</v>
      </c>
      <c r="AI192">
        <v>39477983</v>
      </c>
      <c r="AJ192">
        <v>203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ROW(Source!A80)</f>
        <v>80</v>
      </c>
      <c r="B193">
        <v>39477984</v>
      </c>
      <c r="C193">
        <v>39477974</v>
      </c>
      <c r="D193">
        <v>36836983</v>
      </c>
      <c r="E193">
        <v>1</v>
      </c>
      <c r="F193">
        <v>1</v>
      </c>
      <c r="G193">
        <v>1</v>
      </c>
      <c r="H193">
        <v>3</v>
      </c>
      <c r="I193" t="s">
        <v>940</v>
      </c>
      <c r="J193" t="s">
        <v>941</v>
      </c>
      <c r="K193" t="s">
        <v>942</v>
      </c>
      <c r="L193">
        <v>1346</v>
      </c>
      <c r="N193">
        <v>1009</v>
      </c>
      <c r="O193" t="s">
        <v>217</v>
      </c>
      <c r="P193" t="s">
        <v>217</v>
      </c>
      <c r="Q193">
        <v>1</v>
      </c>
      <c r="X193">
        <v>2.4300000000000002</v>
      </c>
      <c r="Y193">
        <v>8.09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2.4300000000000002</v>
      </c>
      <c r="AH193">
        <v>2</v>
      </c>
      <c r="AI193">
        <v>39477984</v>
      </c>
      <c r="AJ193">
        <v>204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ROW(Source!A80)</f>
        <v>80</v>
      </c>
      <c r="B194">
        <v>39477985</v>
      </c>
      <c r="C194">
        <v>39477974</v>
      </c>
      <c r="D194">
        <v>36797561</v>
      </c>
      <c r="E194">
        <v>17</v>
      </c>
      <c r="F194">
        <v>1</v>
      </c>
      <c r="G194">
        <v>1</v>
      </c>
      <c r="H194">
        <v>3</v>
      </c>
      <c r="I194" t="s">
        <v>248</v>
      </c>
      <c r="J194" t="s">
        <v>3</v>
      </c>
      <c r="K194" t="s">
        <v>249</v>
      </c>
      <c r="L194">
        <v>1348</v>
      </c>
      <c r="N194">
        <v>1009</v>
      </c>
      <c r="O194" t="s">
        <v>34</v>
      </c>
      <c r="P194" t="s">
        <v>34</v>
      </c>
      <c r="Q194">
        <v>1000</v>
      </c>
      <c r="X194">
        <v>6.7000000000000004E-2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3</v>
      </c>
      <c r="AG194">
        <v>6.7000000000000004E-2</v>
      </c>
      <c r="AH194">
        <v>2</v>
      </c>
      <c r="AI194">
        <v>39477985</v>
      </c>
      <c r="AJ194">
        <v>205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ROW(Source!A80)</f>
        <v>80</v>
      </c>
      <c r="B195">
        <v>39477986</v>
      </c>
      <c r="C195">
        <v>39477974</v>
      </c>
      <c r="D195">
        <v>36839212</v>
      </c>
      <c r="E195">
        <v>1</v>
      </c>
      <c r="F195">
        <v>1</v>
      </c>
      <c r="G195">
        <v>1</v>
      </c>
      <c r="H195">
        <v>3</v>
      </c>
      <c r="I195" t="s">
        <v>1046</v>
      </c>
      <c r="J195" t="s">
        <v>1047</v>
      </c>
      <c r="K195" t="s">
        <v>1048</v>
      </c>
      <c r="L195">
        <v>1348</v>
      </c>
      <c r="N195">
        <v>1009</v>
      </c>
      <c r="O195" t="s">
        <v>34</v>
      </c>
      <c r="P195" t="s">
        <v>34</v>
      </c>
      <c r="Q195">
        <v>1000</v>
      </c>
      <c r="X195">
        <v>6.8000000000000005E-2</v>
      </c>
      <c r="Y195">
        <v>4294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6.8000000000000005E-2</v>
      </c>
      <c r="AH195">
        <v>2</v>
      </c>
      <c r="AI195">
        <v>39477986</v>
      </c>
      <c r="AJ195">
        <v>207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ROW(Source!A83)</f>
        <v>83</v>
      </c>
      <c r="B196">
        <v>39477991</v>
      </c>
      <c r="C196">
        <v>39477990</v>
      </c>
      <c r="D196">
        <v>37066837</v>
      </c>
      <c r="E196">
        <v>1</v>
      </c>
      <c r="F196">
        <v>1</v>
      </c>
      <c r="G196">
        <v>1</v>
      </c>
      <c r="H196">
        <v>1</v>
      </c>
      <c r="I196" t="s">
        <v>1049</v>
      </c>
      <c r="J196" t="s">
        <v>3</v>
      </c>
      <c r="K196" t="s">
        <v>1050</v>
      </c>
      <c r="L196">
        <v>1191</v>
      </c>
      <c r="N196">
        <v>1013</v>
      </c>
      <c r="O196" t="s">
        <v>796</v>
      </c>
      <c r="P196" t="s">
        <v>796</v>
      </c>
      <c r="Q196">
        <v>1</v>
      </c>
      <c r="X196">
        <v>5.21</v>
      </c>
      <c r="Y196">
        <v>0</v>
      </c>
      <c r="Z196">
        <v>0</v>
      </c>
      <c r="AA196">
        <v>0</v>
      </c>
      <c r="AB196">
        <v>8.31</v>
      </c>
      <c r="AC196">
        <v>0</v>
      </c>
      <c r="AD196">
        <v>1</v>
      </c>
      <c r="AE196">
        <v>1</v>
      </c>
      <c r="AF196" t="s">
        <v>54</v>
      </c>
      <c r="AG196">
        <v>7.1897999999999991</v>
      </c>
      <c r="AH196">
        <v>2</v>
      </c>
      <c r="AI196">
        <v>39477991</v>
      </c>
      <c r="AJ196">
        <v>208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ROW(Source!A83)</f>
        <v>83</v>
      </c>
      <c r="B197">
        <v>39477992</v>
      </c>
      <c r="C197">
        <v>39477990</v>
      </c>
      <c r="D197">
        <v>37064876</v>
      </c>
      <c r="E197">
        <v>1</v>
      </c>
      <c r="F197">
        <v>1</v>
      </c>
      <c r="G197">
        <v>1</v>
      </c>
      <c r="H197">
        <v>1</v>
      </c>
      <c r="I197" t="s">
        <v>797</v>
      </c>
      <c r="J197" t="s">
        <v>3</v>
      </c>
      <c r="K197" t="s">
        <v>798</v>
      </c>
      <c r="L197">
        <v>1191</v>
      </c>
      <c r="N197">
        <v>1013</v>
      </c>
      <c r="O197" t="s">
        <v>796</v>
      </c>
      <c r="P197" t="s">
        <v>796</v>
      </c>
      <c r="Q197">
        <v>1</v>
      </c>
      <c r="X197">
        <v>0.4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2</v>
      </c>
      <c r="AF197" t="s">
        <v>53</v>
      </c>
      <c r="AG197">
        <v>0.6</v>
      </c>
      <c r="AH197">
        <v>2</v>
      </c>
      <c r="AI197">
        <v>39477992</v>
      </c>
      <c r="AJ197">
        <v>209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ROW(Source!A83)</f>
        <v>83</v>
      </c>
      <c r="B198">
        <v>39477993</v>
      </c>
      <c r="C198">
        <v>39477990</v>
      </c>
      <c r="D198">
        <v>36882057</v>
      </c>
      <c r="E198">
        <v>1</v>
      </c>
      <c r="F198">
        <v>1</v>
      </c>
      <c r="G198">
        <v>1</v>
      </c>
      <c r="H198">
        <v>2</v>
      </c>
      <c r="I198" t="s">
        <v>897</v>
      </c>
      <c r="J198" t="s">
        <v>898</v>
      </c>
      <c r="K198" t="s">
        <v>899</v>
      </c>
      <c r="L198">
        <v>1368</v>
      </c>
      <c r="N198">
        <v>1011</v>
      </c>
      <c r="O198" t="s">
        <v>802</v>
      </c>
      <c r="P198" t="s">
        <v>802</v>
      </c>
      <c r="Q198">
        <v>1</v>
      </c>
      <c r="X198">
        <v>0.4</v>
      </c>
      <c r="Y198">
        <v>0</v>
      </c>
      <c r="Z198">
        <v>86.4</v>
      </c>
      <c r="AA198">
        <v>13.5</v>
      </c>
      <c r="AB198">
        <v>0</v>
      </c>
      <c r="AC198">
        <v>0</v>
      </c>
      <c r="AD198">
        <v>1</v>
      </c>
      <c r="AE198">
        <v>0</v>
      </c>
      <c r="AF198" t="s">
        <v>53</v>
      </c>
      <c r="AG198">
        <v>0.6</v>
      </c>
      <c r="AH198">
        <v>2</v>
      </c>
      <c r="AI198">
        <v>39477993</v>
      </c>
      <c r="AJ198">
        <v>210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ROW(Source!A83)</f>
        <v>83</v>
      </c>
      <c r="B199">
        <v>39477994</v>
      </c>
      <c r="C199">
        <v>39477990</v>
      </c>
      <c r="D199">
        <v>36801792</v>
      </c>
      <c r="E199">
        <v>1</v>
      </c>
      <c r="F199">
        <v>1</v>
      </c>
      <c r="G199">
        <v>1</v>
      </c>
      <c r="H199">
        <v>3</v>
      </c>
      <c r="I199" t="s">
        <v>954</v>
      </c>
      <c r="J199" t="s">
        <v>955</v>
      </c>
      <c r="K199" t="s">
        <v>956</v>
      </c>
      <c r="L199">
        <v>1339</v>
      </c>
      <c r="N199">
        <v>1007</v>
      </c>
      <c r="O199" t="s">
        <v>25</v>
      </c>
      <c r="P199" t="s">
        <v>25</v>
      </c>
      <c r="Q199">
        <v>1</v>
      </c>
      <c r="X199">
        <v>0.44</v>
      </c>
      <c r="Y199">
        <v>2.44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0.44</v>
      </c>
      <c r="AH199">
        <v>2</v>
      </c>
      <c r="AI199">
        <v>39477994</v>
      </c>
      <c r="AJ199">
        <v>211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ROW(Source!A83)</f>
        <v>83</v>
      </c>
      <c r="B200">
        <v>39477995</v>
      </c>
      <c r="C200">
        <v>39477990</v>
      </c>
      <c r="D200">
        <v>36807374</v>
      </c>
      <c r="E200">
        <v>1</v>
      </c>
      <c r="F200">
        <v>1</v>
      </c>
      <c r="G200">
        <v>1</v>
      </c>
      <c r="H200">
        <v>3</v>
      </c>
      <c r="I200" t="s">
        <v>1051</v>
      </c>
      <c r="J200" t="s">
        <v>1052</v>
      </c>
      <c r="K200" t="s">
        <v>1053</v>
      </c>
      <c r="L200">
        <v>1339</v>
      </c>
      <c r="N200">
        <v>1007</v>
      </c>
      <c r="O200" t="s">
        <v>25</v>
      </c>
      <c r="P200" t="s">
        <v>25</v>
      </c>
      <c r="Q200">
        <v>1</v>
      </c>
      <c r="X200">
        <v>0.23400000000000001</v>
      </c>
      <c r="Y200">
        <v>519.79999999999995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0.23400000000000001</v>
      </c>
      <c r="AH200">
        <v>2</v>
      </c>
      <c r="AI200">
        <v>39477995</v>
      </c>
      <c r="AJ200">
        <v>212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ROW(Source!A83)</f>
        <v>83</v>
      </c>
      <c r="B201">
        <v>39477996</v>
      </c>
      <c r="C201">
        <v>39477990</v>
      </c>
      <c r="D201">
        <v>36796734</v>
      </c>
      <c r="E201">
        <v>17</v>
      </c>
      <c r="F201">
        <v>1</v>
      </c>
      <c r="G201">
        <v>1</v>
      </c>
      <c r="H201">
        <v>3</v>
      </c>
      <c r="I201" t="s">
        <v>262</v>
      </c>
      <c r="J201" t="s">
        <v>3</v>
      </c>
      <c r="K201" t="s">
        <v>263</v>
      </c>
      <c r="L201">
        <v>1356</v>
      </c>
      <c r="N201">
        <v>1010</v>
      </c>
      <c r="O201" t="s">
        <v>259</v>
      </c>
      <c r="P201" t="s">
        <v>259</v>
      </c>
      <c r="Q201">
        <v>1000</v>
      </c>
      <c r="X201">
        <v>0.39500000000000002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 t="s">
        <v>3</v>
      </c>
      <c r="AG201">
        <v>0.39500000000000002</v>
      </c>
      <c r="AH201">
        <v>2</v>
      </c>
      <c r="AI201">
        <v>39477996</v>
      </c>
      <c r="AJ201">
        <v>214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ROW(Source!A83)</f>
        <v>83</v>
      </c>
      <c r="B202">
        <v>39477997</v>
      </c>
      <c r="C202">
        <v>39477990</v>
      </c>
      <c r="D202">
        <v>36830316</v>
      </c>
      <c r="E202">
        <v>1</v>
      </c>
      <c r="F202">
        <v>1</v>
      </c>
      <c r="G202">
        <v>1</v>
      </c>
      <c r="H202">
        <v>3</v>
      </c>
      <c r="I202" t="s">
        <v>1026</v>
      </c>
      <c r="J202" t="s">
        <v>1027</v>
      </c>
      <c r="K202" t="s">
        <v>1028</v>
      </c>
      <c r="L202">
        <v>1339</v>
      </c>
      <c r="N202">
        <v>1007</v>
      </c>
      <c r="O202" t="s">
        <v>25</v>
      </c>
      <c r="P202" t="s">
        <v>25</v>
      </c>
      <c r="Q202">
        <v>1</v>
      </c>
      <c r="X202">
        <v>5.0000000000000001E-4</v>
      </c>
      <c r="Y202">
        <v>1056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5.0000000000000001E-4</v>
      </c>
      <c r="AH202">
        <v>2</v>
      </c>
      <c r="AI202">
        <v>39477997</v>
      </c>
      <c r="AJ202">
        <v>215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ROW(Source!A86)</f>
        <v>86</v>
      </c>
      <c r="B203">
        <v>39478000</v>
      </c>
      <c r="C203">
        <v>39477999</v>
      </c>
      <c r="D203">
        <v>37064928</v>
      </c>
      <c r="E203">
        <v>1</v>
      </c>
      <c r="F203">
        <v>1</v>
      </c>
      <c r="G203">
        <v>1</v>
      </c>
      <c r="H203">
        <v>1</v>
      </c>
      <c r="I203" t="s">
        <v>911</v>
      </c>
      <c r="J203" t="s">
        <v>3</v>
      </c>
      <c r="K203" t="s">
        <v>912</v>
      </c>
      <c r="L203">
        <v>1191</v>
      </c>
      <c r="N203">
        <v>1013</v>
      </c>
      <c r="O203" t="s">
        <v>796</v>
      </c>
      <c r="P203" t="s">
        <v>796</v>
      </c>
      <c r="Q203">
        <v>1</v>
      </c>
      <c r="X203">
        <v>77.099999999999994</v>
      </c>
      <c r="Y203">
        <v>0</v>
      </c>
      <c r="Z203">
        <v>0</v>
      </c>
      <c r="AA203">
        <v>0</v>
      </c>
      <c r="AB203">
        <v>9.07</v>
      </c>
      <c r="AC203">
        <v>0</v>
      </c>
      <c r="AD203">
        <v>1</v>
      </c>
      <c r="AE203">
        <v>1</v>
      </c>
      <c r="AF203" t="s">
        <v>54</v>
      </c>
      <c r="AG203">
        <v>106.39799999999998</v>
      </c>
      <c r="AH203">
        <v>2</v>
      </c>
      <c r="AI203">
        <v>39478000</v>
      </c>
      <c r="AJ203">
        <v>216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ROW(Source!A86)</f>
        <v>86</v>
      </c>
      <c r="B204">
        <v>39478001</v>
      </c>
      <c r="C204">
        <v>39477999</v>
      </c>
      <c r="D204">
        <v>37064876</v>
      </c>
      <c r="E204">
        <v>1</v>
      </c>
      <c r="F204">
        <v>1</v>
      </c>
      <c r="G204">
        <v>1</v>
      </c>
      <c r="H204">
        <v>1</v>
      </c>
      <c r="I204" t="s">
        <v>797</v>
      </c>
      <c r="J204" t="s">
        <v>3</v>
      </c>
      <c r="K204" t="s">
        <v>798</v>
      </c>
      <c r="L204">
        <v>1191</v>
      </c>
      <c r="N204">
        <v>1013</v>
      </c>
      <c r="O204" t="s">
        <v>796</v>
      </c>
      <c r="P204" t="s">
        <v>796</v>
      </c>
      <c r="Q204">
        <v>1</v>
      </c>
      <c r="X204">
        <v>0.44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53</v>
      </c>
      <c r="AG204">
        <v>0.66</v>
      </c>
      <c r="AH204">
        <v>2</v>
      </c>
      <c r="AI204">
        <v>39478001</v>
      </c>
      <c r="AJ204">
        <v>217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ROW(Source!A86)</f>
        <v>86</v>
      </c>
      <c r="B205">
        <v>39478002</v>
      </c>
      <c r="C205">
        <v>39477999</v>
      </c>
      <c r="D205">
        <v>36882041</v>
      </c>
      <c r="E205">
        <v>1</v>
      </c>
      <c r="F205">
        <v>1</v>
      </c>
      <c r="G205">
        <v>1</v>
      </c>
      <c r="H205">
        <v>2</v>
      </c>
      <c r="I205" t="s">
        <v>1054</v>
      </c>
      <c r="J205" t="s">
        <v>1055</v>
      </c>
      <c r="K205" t="s">
        <v>1056</v>
      </c>
      <c r="L205">
        <v>1368</v>
      </c>
      <c r="N205">
        <v>1011</v>
      </c>
      <c r="O205" t="s">
        <v>802</v>
      </c>
      <c r="P205" t="s">
        <v>802</v>
      </c>
      <c r="Q205">
        <v>1</v>
      </c>
      <c r="X205">
        <v>0.18</v>
      </c>
      <c r="Y205">
        <v>0</v>
      </c>
      <c r="Z205">
        <v>765.21</v>
      </c>
      <c r="AA205">
        <v>13.5</v>
      </c>
      <c r="AB205">
        <v>0</v>
      </c>
      <c r="AC205">
        <v>0</v>
      </c>
      <c r="AD205">
        <v>1</v>
      </c>
      <c r="AE205">
        <v>0</v>
      </c>
      <c r="AF205" t="s">
        <v>53</v>
      </c>
      <c r="AG205">
        <v>0.26999999999999996</v>
      </c>
      <c r="AH205">
        <v>2</v>
      </c>
      <c r="AI205">
        <v>39478002</v>
      </c>
      <c r="AJ205">
        <v>218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ROW(Source!A86)</f>
        <v>86</v>
      </c>
      <c r="B206">
        <v>39478003</v>
      </c>
      <c r="C206">
        <v>39477999</v>
      </c>
      <c r="D206">
        <v>36883554</v>
      </c>
      <c r="E206">
        <v>1</v>
      </c>
      <c r="F206">
        <v>1</v>
      </c>
      <c r="G206">
        <v>1</v>
      </c>
      <c r="H206">
        <v>2</v>
      </c>
      <c r="I206" t="s">
        <v>834</v>
      </c>
      <c r="J206" t="s">
        <v>835</v>
      </c>
      <c r="K206" t="s">
        <v>836</v>
      </c>
      <c r="L206">
        <v>1368</v>
      </c>
      <c r="N206">
        <v>1011</v>
      </c>
      <c r="O206" t="s">
        <v>802</v>
      </c>
      <c r="P206" t="s">
        <v>802</v>
      </c>
      <c r="Q206">
        <v>1</v>
      </c>
      <c r="X206">
        <v>0.26</v>
      </c>
      <c r="Y206">
        <v>0</v>
      </c>
      <c r="Z206">
        <v>65.709999999999994</v>
      </c>
      <c r="AA206">
        <v>11.6</v>
      </c>
      <c r="AB206">
        <v>0</v>
      </c>
      <c r="AC206">
        <v>0</v>
      </c>
      <c r="AD206">
        <v>1</v>
      </c>
      <c r="AE206">
        <v>0</v>
      </c>
      <c r="AF206" t="s">
        <v>53</v>
      </c>
      <c r="AG206">
        <v>0.39</v>
      </c>
      <c r="AH206">
        <v>2</v>
      </c>
      <c r="AI206">
        <v>39478003</v>
      </c>
      <c r="AJ206">
        <v>219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ROW(Source!A86)</f>
        <v>86</v>
      </c>
      <c r="B207">
        <v>39478004</v>
      </c>
      <c r="C207">
        <v>39477999</v>
      </c>
      <c r="D207">
        <v>36796502</v>
      </c>
      <c r="E207">
        <v>17</v>
      </c>
      <c r="F207">
        <v>1</v>
      </c>
      <c r="G207">
        <v>1</v>
      </c>
      <c r="H207">
        <v>3</v>
      </c>
      <c r="I207" t="s">
        <v>1247</v>
      </c>
      <c r="J207" t="s">
        <v>3</v>
      </c>
      <c r="K207" t="s">
        <v>1248</v>
      </c>
      <c r="L207">
        <v>1348</v>
      </c>
      <c r="N207">
        <v>1009</v>
      </c>
      <c r="O207" t="s">
        <v>34</v>
      </c>
      <c r="P207" t="s">
        <v>34</v>
      </c>
      <c r="Q207">
        <v>1000</v>
      </c>
      <c r="X207">
        <v>1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3</v>
      </c>
      <c r="AG207">
        <v>1</v>
      </c>
      <c r="AH207">
        <v>3</v>
      </c>
      <c r="AI207">
        <v>-1</v>
      </c>
      <c r="AJ207" t="s">
        <v>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ROW(Source!A88)</f>
        <v>88</v>
      </c>
      <c r="B208">
        <v>39478016</v>
      </c>
      <c r="C208">
        <v>39478015</v>
      </c>
      <c r="D208">
        <v>37065248</v>
      </c>
      <c r="E208">
        <v>1</v>
      </c>
      <c r="F208">
        <v>1</v>
      </c>
      <c r="G208">
        <v>1</v>
      </c>
      <c r="H208">
        <v>1</v>
      </c>
      <c r="I208" t="s">
        <v>895</v>
      </c>
      <c r="J208" t="s">
        <v>3</v>
      </c>
      <c r="K208" t="s">
        <v>896</v>
      </c>
      <c r="L208">
        <v>1191</v>
      </c>
      <c r="N208">
        <v>1013</v>
      </c>
      <c r="O208" t="s">
        <v>796</v>
      </c>
      <c r="P208" t="s">
        <v>796</v>
      </c>
      <c r="Q208">
        <v>1</v>
      </c>
      <c r="X208">
        <v>35.74</v>
      </c>
      <c r="Y208">
        <v>0</v>
      </c>
      <c r="Z208">
        <v>0</v>
      </c>
      <c r="AA208">
        <v>0</v>
      </c>
      <c r="AB208">
        <v>8.5299999999999994</v>
      </c>
      <c r="AC208">
        <v>0</v>
      </c>
      <c r="AD208">
        <v>1</v>
      </c>
      <c r="AE208">
        <v>1</v>
      </c>
      <c r="AF208" t="s">
        <v>54</v>
      </c>
      <c r="AG208">
        <v>49.321199999999997</v>
      </c>
      <c r="AH208">
        <v>2</v>
      </c>
      <c r="AI208">
        <v>39478016</v>
      </c>
      <c r="AJ208">
        <v>221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ROW(Source!A88)</f>
        <v>88</v>
      </c>
      <c r="B209">
        <v>39478017</v>
      </c>
      <c r="C209">
        <v>39478015</v>
      </c>
      <c r="D209">
        <v>37064876</v>
      </c>
      <c r="E209">
        <v>1</v>
      </c>
      <c r="F209">
        <v>1</v>
      </c>
      <c r="G209">
        <v>1</v>
      </c>
      <c r="H209">
        <v>1</v>
      </c>
      <c r="I209" t="s">
        <v>797</v>
      </c>
      <c r="J209" t="s">
        <v>3</v>
      </c>
      <c r="K209" t="s">
        <v>798</v>
      </c>
      <c r="L209">
        <v>1191</v>
      </c>
      <c r="N209">
        <v>1013</v>
      </c>
      <c r="O209" t="s">
        <v>796</v>
      </c>
      <c r="P209" t="s">
        <v>796</v>
      </c>
      <c r="Q209">
        <v>1</v>
      </c>
      <c r="X209">
        <v>0.44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53</v>
      </c>
      <c r="AG209">
        <v>0.66</v>
      </c>
      <c r="AH209">
        <v>2</v>
      </c>
      <c r="AI209">
        <v>39478017</v>
      </c>
      <c r="AJ209">
        <v>222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ROW(Source!A88)</f>
        <v>88</v>
      </c>
      <c r="B210">
        <v>39478018</v>
      </c>
      <c r="C210">
        <v>39478015</v>
      </c>
      <c r="D210">
        <v>36882452</v>
      </c>
      <c r="E210">
        <v>1</v>
      </c>
      <c r="F210">
        <v>1</v>
      </c>
      <c r="G210">
        <v>1</v>
      </c>
      <c r="H210">
        <v>2</v>
      </c>
      <c r="I210" t="s">
        <v>799</v>
      </c>
      <c r="J210" t="s">
        <v>800</v>
      </c>
      <c r="K210" t="s">
        <v>801</v>
      </c>
      <c r="L210">
        <v>1368</v>
      </c>
      <c r="N210">
        <v>1011</v>
      </c>
      <c r="O210" t="s">
        <v>802</v>
      </c>
      <c r="P210" t="s">
        <v>802</v>
      </c>
      <c r="Q210">
        <v>1</v>
      </c>
      <c r="X210">
        <v>0.18</v>
      </c>
      <c r="Y210">
        <v>0</v>
      </c>
      <c r="Z210">
        <v>31.26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53</v>
      </c>
      <c r="AG210">
        <v>0.26999999999999996</v>
      </c>
      <c r="AH210">
        <v>2</v>
      </c>
      <c r="AI210">
        <v>39478018</v>
      </c>
      <c r="AJ210">
        <v>223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ROW(Source!A88)</f>
        <v>88</v>
      </c>
      <c r="B211">
        <v>39478019</v>
      </c>
      <c r="C211">
        <v>39478015</v>
      </c>
      <c r="D211">
        <v>36883554</v>
      </c>
      <c r="E211">
        <v>1</v>
      </c>
      <c r="F211">
        <v>1</v>
      </c>
      <c r="G211">
        <v>1</v>
      </c>
      <c r="H211">
        <v>2</v>
      </c>
      <c r="I211" t="s">
        <v>834</v>
      </c>
      <c r="J211" t="s">
        <v>835</v>
      </c>
      <c r="K211" t="s">
        <v>836</v>
      </c>
      <c r="L211">
        <v>1368</v>
      </c>
      <c r="N211">
        <v>1011</v>
      </c>
      <c r="O211" t="s">
        <v>802</v>
      </c>
      <c r="P211" t="s">
        <v>802</v>
      </c>
      <c r="Q211">
        <v>1</v>
      </c>
      <c r="X211">
        <v>0.26</v>
      </c>
      <c r="Y211">
        <v>0</v>
      </c>
      <c r="Z211">
        <v>65.709999999999994</v>
      </c>
      <c r="AA211">
        <v>11.6</v>
      </c>
      <c r="AB211">
        <v>0</v>
      </c>
      <c r="AC211">
        <v>0</v>
      </c>
      <c r="AD211">
        <v>1</v>
      </c>
      <c r="AE211">
        <v>0</v>
      </c>
      <c r="AF211" t="s">
        <v>53</v>
      </c>
      <c r="AG211">
        <v>0.39</v>
      </c>
      <c r="AH211">
        <v>2</v>
      </c>
      <c r="AI211">
        <v>39478019</v>
      </c>
      <c r="AJ211">
        <v>224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ROW(Source!A88)</f>
        <v>88</v>
      </c>
      <c r="B212">
        <v>39478020</v>
      </c>
      <c r="C212">
        <v>39478015</v>
      </c>
      <c r="D212">
        <v>36829996</v>
      </c>
      <c r="E212">
        <v>1</v>
      </c>
      <c r="F212">
        <v>1</v>
      </c>
      <c r="G212">
        <v>1</v>
      </c>
      <c r="H212">
        <v>3</v>
      </c>
      <c r="I212" t="s">
        <v>1057</v>
      </c>
      <c r="J212" t="s">
        <v>1058</v>
      </c>
      <c r="K212" t="s">
        <v>1059</v>
      </c>
      <c r="L212">
        <v>1339</v>
      </c>
      <c r="N212">
        <v>1007</v>
      </c>
      <c r="O212" t="s">
        <v>25</v>
      </c>
      <c r="P212" t="s">
        <v>25</v>
      </c>
      <c r="Q212">
        <v>1</v>
      </c>
      <c r="X212">
        <v>0.82</v>
      </c>
      <c r="Y212">
        <v>1970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0.82</v>
      </c>
      <c r="AH212">
        <v>2</v>
      </c>
      <c r="AI212">
        <v>39478020</v>
      </c>
      <c r="AJ212">
        <v>225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ROW(Source!A88)</f>
        <v>88</v>
      </c>
      <c r="B213">
        <v>39478021</v>
      </c>
      <c r="C213">
        <v>39478015</v>
      </c>
      <c r="D213">
        <v>36832948</v>
      </c>
      <c r="E213">
        <v>1</v>
      </c>
      <c r="F213">
        <v>1</v>
      </c>
      <c r="G213">
        <v>1</v>
      </c>
      <c r="H213">
        <v>3</v>
      </c>
      <c r="I213" t="s">
        <v>1060</v>
      </c>
      <c r="J213" t="s">
        <v>1061</v>
      </c>
      <c r="K213" t="s">
        <v>1062</v>
      </c>
      <c r="L213">
        <v>1327</v>
      </c>
      <c r="N213">
        <v>1005</v>
      </c>
      <c r="O213" t="s">
        <v>61</v>
      </c>
      <c r="P213" t="s">
        <v>61</v>
      </c>
      <c r="Q213">
        <v>1</v>
      </c>
      <c r="X213">
        <v>21</v>
      </c>
      <c r="Y213">
        <v>5.71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21</v>
      </c>
      <c r="AH213">
        <v>2</v>
      </c>
      <c r="AI213">
        <v>39478021</v>
      </c>
      <c r="AJ213">
        <v>226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ROW(Source!A89)</f>
        <v>89</v>
      </c>
      <c r="B214">
        <v>39479327</v>
      </c>
      <c r="C214">
        <v>39479326</v>
      </c>
      <c r="D214">
        <v>37065248</v>
      </c>
      <c r="E214">
        <v>1</v>
      </c>
      <c r="F214">
        <v>1</v>
      </c>
      <c r="G214">
        <v>1</v>
      </c>
      <c r="H214">
        <v>1</v>
      </c>
      <c r="I214" t="s">
        <v>895</v>
      </c>
      <c r="J214" t="s">
        <v>3</v>
      </c>
      <c r="K214" t="s">
        <v>896</v>
      </c>
      <c r="L214">
        <v>1191</v>
      </c>
      <c r="N214">
        <v>1013</v>
      </c>
      <c r="O214" t="s">
        <v>796</v>
      </c>
      <c r="P214" t="s">
        <v>796</v>
      </c>
      <c r="Q214">
        <v>1</v>
      </c>
      <c r="X214">
        <v>66.709999999999994</v>
      </c>
      <c r="Y214">
        <v>0</v>
      </c>
      <c r="Z214">
        <v>0</v>
      </c>
      <c r="AA214">
        <v>0</v>
      </c>
      <c r="AB214">
        <v>8.5299999999999994</v>
      </c>
      <c r="AC214">
        <v>0</v>
      </c>
      <c r="AD214">
        <v>1</v>
      </c>
      <c r="AE214">
        <v>1</v>
      </c>
      <c r="AF214" t="s">
        <v>3</v>
      </c>
      <c r="AG214">
        <v>66.709999999999994</v>
      </c>
      <c r="AH214">
        <v>2</v>
      </c>
      <c r="AI214">
        <v>39479327</v>
      </c>
      <c r="AJ214">
        <v>227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ROW(Source!A89)</f>
        <v>89</v>
      </c>
      <c r="B215">
        <v>39479328</v>
      </c>
      <c r="C215">
        <v>39479326</v>
      </c>
      <c r="D215">
        <v>37064876</v>
      </c>
      <c r="E215">
        <v>1</v>
      </c>
      <c r="F215">
        <v>1</v>
      </c>
      <c r="G215">
        <v>1</v>
      </c>
      <c r="H215">
        <v>1</v>
      </c>
      <c r="I215" t="s">
        <v>797</v>
      </c>
      <c r="J215" t="s">
        <v>3</v>
      </c>
      <c r="K215" t="s">
        <v>798</v>
      </c>
      <c r="L215">
        <v>1191</v>
      </c>
      <c r="N215">
        <v>1013</v>
      </c>
      <c r="O215" t="s">
        <v>796</v>
      </c>
      <c r="P215" t="s">
        <v>796</v>
      </c>
      <c r="Q215">
        <v>1</v>
      </c>
      <c r="X215">
        <v>1.86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2</v>
      </c>
      <c r="AF215" t="s">
        <v>3</v>
      </c>
      <c r="AG215">
        <v>1.86</v>
      </c>
      <c r="AH215">
        <v>2</v>
      </c>
      <c r="AI215">
        <v>39479328</v>
      </c>
      <c r="AJ215">
        <v>228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ROW(Source!A89)</f>
        <v>89</v>
      </c>
      <c r="B216">
        <v>39479329</v>
      </c>
      <c r="C216">
        <v>39479326</v>
      </c>
      <c r="D216">
        <v>36882452</v>
      </c>
      <c r="E216">
        <v>1</v>
      </c>
      <c r="F216">
        <v>1</v>
      </c>
      <c r="G216">
        <v>1</v>
      </c>
      <c r="H216">
        <v>2</v>
      </c>
      <c r="I216" t="s">
        <v>799</v>
      </c>
      <c r="J216" t="s">
        <v>800</v>
      </c>
      <c r="K216" t="s">
        <v>801</v>
      </c>
      <c r="L216">
        <v>1368</v>
      </c>
      <c r="N216">
        <v>1011</v>
      </c>
      <c r="O216" t="s">
        <v>802</v>
      </c>
      <c r="P216" t="s">
        <v>802</v>
      </c>
      <c r="Q216">
        <v>1</v>
      </c>
      <c r="X216">
        <v>0.76</v>
      </c>
      <c r="Y216">
        <v>0</v>
      </c>
      <c r="Z216">
        <v>31.26</v>
      </c>
      <c r="AA216">
        <v>13.5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0.76</v>
      </c>
      <c r="AH216">
        <v>2</v>
      </c>
      <c r="AI216">
        <v>39479329</v>
      </c>
      <c r="AJ216">
        <v>229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ROW(Source!A89)</f>
        <v>89</v>
      </c>
      <c r="B217">
        <v>39479330</v>
      </c>
      <c r="C217">
        <v>39479326</v>
      </c>
      <c r="D217">
        <v>36883554</v>
      </c>
      <c r="E217">
        <v>1</v>
      </c>
      <c r="F217">
        <v>1</v>
      </c>
      <c r="G217">
        <v>1</v>
      </c>
      <c r="H217">
        <v>2</v>
      </c>
      <c r="I217" t="s">
        <v>834</v>
      </c>
      <c r="J217" t="s">
        <v>835</v>
      </c>
      <c r="K217" t="s">
        <v>836</v>
      </c>
      <c r="L217">
        <v>1368</v>
      </c>
      <c r="N217">
        <v>1011</v>
      </c>
      <c r="O217" t="s">
        <v>802</v>
      </c>
      <c r="P217" t="s">
        <v>802</v>
      </c>
      <c r="Q217">
        <v>1</v>
      </c>
      <c r="X217">
        <v>1.1000000000000001</v>
      </c>
      <c r="Y217">
        <v>0</v>
      </c>
      <c r="Z217">
        <v>65.709999999999994</v>
      </c>
      <c r="AA217">
        <v>11.6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1.1000000000000001</v>
      </c>
      <c r="AH217">
        <v>2</v>
      </c>
      <c r="AI217">
        <v>39479330</v>
      </c>
      <c r="AJ217">
        <v>230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ROW(Source!A89)</f>
        <v>89</v>
      </c>
      <c r="B218">
        <v>39479331</v>
      </c>
      <c r="C218">
        <v>39479326</v>
      </c>
      <c r="D218">
        <v>36884458</v>
      </c>
      <c r="E218">
        <v>1</v>
      </c>
      <c r="F218">
        <v>1</v>
      </c>
      <c r="G218">
        <v>1</v>
      </c>
      <c r="H218">
        <v>2</v>
      </c>
      <c r="I218" t="s">
        <v>1063</v>
      </c>
      <c r="J218" t="s">
        <v>1064</v>
      </c>
      <c r="K218" t="s">
        <v>1065</v>
      </c>
      <c r="L218">
        <v>1368</v>
      </c>
      <c r="N218">
        <v>1011</v>
      </c>
      <c r="O218" t="s">
        <v>802</v>
      </c>
      <c r="P218" t="s">
        <v>802</v>
      </c>
      <c r="Q218">
        <v>1</v>
      </c>
      <c r="X218">
        <v>2.7</v>
      </c>
      <c r="Y218">
        <v>0</v>
      </c>
      <c r="Z218">
        <v>2.09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2.7</v>
      </c>
      <c r="AH218">
        <v>2</v>
      </c>
      <c r="AI218">
        <v>39479331</v>
      </c>
      <c r="AJ218">
        <v>231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ROW(Source!A89)</f>
        <v>89</v>
      </c>
      <c r="B219">
        <v>39479332</v>
      </c>
      <c r="C219">
        <v>39479326</v>
      </c>
      <c r="D219">
        <v>36804545</v>
      </c>
      <c r="E219">
        <v>1</v>
      </c>
      <c r="F219">
        <v>1</v>
      </c>
      <c r="G219">
        <v>1</v>
      </c>
      <c r="H219">
        <v>3</v>
      </c>
      <c r="I219" t="s">
        <v>846</v>
      </c>
      <c r="J219" t="s">
        <v>847</v>
      </c>
      <c r="K219" t="s">
        <v>848</v>
      </c>
      <c r="L219">
        <v>1348</v>
      </c>
      <c r="N219">
        <v>1009</v>
      </c>
      <c r="O219" t="s">
        <v>34</v>
      </c>
      <c r="P219" t="s">
        <v>34</v>
      </c>
      <c r="Q219">
        <v>1000</v>
      </c>
      <c r="X219">
        <v>2.6200000000000001E-2</v>
      </c>
      <c r="Y219">
        <v>11978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2.6200000000000001E-2</v>
      </c>
      <c r="AH219">
        <v>2</v>
      </c>
      <c r="AI219">
        <v>39479332</v>
      </c>
      <c r="AJ219">
        <v>232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ROW(Source!A89)</f>
        <v>89</v>
      </c>
      <c r="B220">
        <v>39479333</v>
      </c>
      <c r="C220">
        <v>39479326</v>
      </c>
      <c r="D220">
        <v>36797219</v>
      </c>
      <c r="E220">
        <v>17</v>
      </c>
      <c r="F220">
        <v>1</v>
      </c>
      <c r="G220">
        <v>1</v>
      </c>
      <c r="H220">
        <v>3</v>
      </c>
      <c r="I220" t="s">
        <v>1249</v>
      </c>
      <c r="J220" t="s">
        <v>3</v>
      </c>
      <c r="K220" t="s">
        <v>1250</v>
      </c>
      <c r="L220">
        <v>1339</v>
      </c>
      <c r="N220">
        <v>1007</v>
      </c>
      <c r="O220" t="s">
        <v>25</v>
      </c>
      <c r="P220" t="s">
        <v>25</v>
      </c>
      <c r="Q220">
        <v>1</v>
      </c>
      <c r="X220">
        <v>3.71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 t="s">
        <v>3</v>
      </c>
      <c r="AG220">
        <v>3.71</v>
      </c>
      <c r="AH220">
        <v>3</v>
      </c>
      <c r="AI220">
        <v>-1</v>
      </c>
      <c r="AJ220" t="s">
        <v>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ROW(Source!A91)</f>
        <v>91</v>
      </c>
      <c r="B221">
        <v>39478023</v>
      </c>
      <c r="C221">
        <v>39478022</v>
      </c>
      <c r="D221">
        <v>37066717</v>
      </c>
      <c r="E221">
        <v>1</v>
      </c>
      <c r="F221">
        <v>1</v>
      </c>
      <c r="G221">
        <v>1</v>
      </c>
      <c r="H221">
        <v>1</v>
      </c>
      <c r="I221" t="s">
        <v>909</v>
      </c>
      <c r="J221" t="s">
        <v>3</v>
      </c>
      <c r="K221" t="s">
        <v>910</v>
      </c>
      <c r="L221">
        <v>1191</v>
      </c>
      <c r="N221">
        <v>1013</v>
      </c>
      <c r="O221" t="s">
        <v>796</v>
      </c>
      <c r="P221" t="s">
        <v>796</v>
      </c>
      <c r="Q221">
        <v>1</v>
      </c>
      <c r="X221">
        <v>37.97</v>
      </c>
      <c r="Y221">
        <v>0</v>
      </c>
      <c r="Z221">
        <v>0</v>
      </c>
      <c r="AA221">
        <v>0</v>
      </c>
      <c r="AB221">
        <v>8.17</v>
      </c>
      <c r="AC221">
        <v>0</v>
      </c>
      <c r="AD221">
        <v>1</v>
      </c>
      <c r="AE221">
        <v>1</v>
      </c>
      <c r="AF221" t="s">
        <v>54</v>
      </c>
      <c r="AG221">
        <v>52.398599999999995</v>
      </c>
      <c r="AH221">
        <v>2</v>
      </c>
      <c r="AI221">
        <v>39478023</v>
      </c>
      <c r="AJ221">
        <v>234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ROW(Source!A91)</f>
        <v>91</v>
      </c>
      <c r="B222">
        <v>39478024</v>
      </c>
      <c r="C222">
        <v>39478022</v>
      </c>
      <c r="D222">
        <v>37064876</v>
      </c>
      <c r="E222">
        <v>1</v>
      </c>
      <c r="F222">
        <v>1</v>
      </c>
      <c r="G222">
        <v>1</v>
      </c>
      <c r="H222">
        <v>1</v>
      </c>
      <c r="I222" t="s">
        <v>797</v>
      </c>
      <c r="J222" t="s">
        <v>3</v>
      </c>
      <c r="K222" t="s">
        <v>798</v>
      </c>
      <c r="L222">
        <v>1191</v>
      </c>
      <c r="N222">
        <v>1013</v>
      </c>
      <c r="O222" t="s">
        <v>796</v>
      </c>
      <c r="P222" t="s">
        <v>796</v>
      </c>
      <c r="Q222">
        <v>1</v>
      </c>
      <c r="X222">
        <v>7.18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53</v>
      </c>
      <c r="AG222">
        <v>10.77</v>
      </c>
      <c r="AH222">
        <v>2</v>
      </c>
      <c r="AI222">
        <v>39478024</v>
      </c>
      <c r="AJ222">
        <v>235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ROW(Source!A91)</f>
        <v>91</v>
      </c>
      <c r="B223">
        <v>39478025</v>
      </c>
      <c r="C223">
        <v>39478022</v>
      </c>
      <c r="D223">
        <v>36882452</v>
      </c>
      <c r="E223">
        <v>1</v>
      </c>
      <c r="F223">
        <v>1</v>
      </c>
      <c r="G223">
        <v>1</v>
      </c>
      <c r="H223">
        <v>2</v>
      </c>
      <c r="I223" t="s">
        <v>799</v>
      </c>
      <c r="J223" t="s">
        <v>800</v>
      </c>
      <c r="K223" t="s">
        <v>801</v>
      </c>
      <c r="L223">
        <v>1368</v>
      </c>
      <c r="N223">
        <v>1011</v>
      </c>
      <c r="O223" t="s">
        <v>802</v>
      </c>
      <c r="P223" t="s">
        <v>802</v>
      </c>
      <c r="Q223">
        <v>1</v>
      </c>
      <c r="X223">
        <v>0.13</v>
      </c>
      <c r="Y223">
        <v>0</v>
      </c>
      <c r="Z223">
        <v>31.26</v>
      </c>
      <c r="AA223">
        <v>13.5</v>
      </c>
      <c r="AB223">
        <v>0</v>
      </c>
      <c r="AC223">
        <v>0</v>
      </c>
      <c r="AD223">
        <v>1</v>
      </c>
      <c r="AE223">
        <v>0</v>
      </c>
      <c r="AF223" t="s">
        <v>53</v>
      </c>
      <c r="AG223">
        <v>0.19500000000000001</v>
      </c>
      <c r="AH223">
        <v>2</v>
      </c>
      <c r="AI223">
        <v>39478025</v>
      </c>
      <c r="AJ223">
        <v>236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ROW(Source!A91)</f>
        <v>91</v>
      </c>
      <c r="B224">
        <v>39478026</v>
      </c>
      <c r="C224">
        <v>39478022</v>
      </c>
      <c r="D224">
        <v>36883554</v>
      </c>
      <c r="E224">
        <v>1</v>
      </c>
      <c r="F224">
        <v>1</v>
      </c>
      <c r="G224">
        <v>1</v>
      </c>
      <c r="H224">
        <v>2</v>
      </c>
      <c r="I224" t="s">
        <v>834</v>
      </c>
      <c r="J224" t="s">
        <v>835</v>
      </c>
      <c r="K224" t="s">
        <v>836</v>
      </c>
      <c r="L224">
        <v>1368</v>
      </c>
      <c r="N224">
        <v>1011</v>
      </c>
      <c r="O224" t="s">
        <v>802</v>
      </c>
      <c r="P224" t="s">
        <v>802</v>
      </c>
      <c r="Q224">
        <v>1</v>
      </c>
      <c r="X224">
        <v>0.35</v>
      </c>
      <c r="Y224">
        <v>0</v>
      </c>
      <c r="Z224">
        <v>65.709999999999994</v>
      </c>
      <c r="AA224">
        <v>11.6</v>
      </c>
      <c r="AB224">
        <v>0</v>
      </c>
      <c r="AC224">
        <v>0</v>
      </c>
      <c r="AD224">
        <v>1</v>
      </c>
      <c r="AE224">
        <v>0</v>
      </c>
      <c r="AF224" t="s">
        <v>53</v>
      </c>
      <c r="AG224">
        <v>0.52500000000000002</v>
      </c>
      <c r="AH224">
        <v>2</v>
      </c>
      <c r="AI224">
        <v>39478026</v>
      </c>
      <c r="AJ224">
        <v>237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ROW(Source!A91)</f>
        <v>91</v>
      </c>
      <c r="B225">
        <v>39478027</v>
      </c>
      <c r="C225">
        <v>39478022</v>
      </c>
      <c r="D225">
        <v>36883878</v>
      </c>
      <c r="E225">
        <v>1</v>
      </c>
      <c r="F225">
        <v>1</v>
      </c>
      <c r="G225">
        <v>1</v>
      </c>
      <c r="H225">
        <v>2</v>
      </c>
      <c r="I225" t="s">
        <v>1066</v>
      </c>
      <c r="J225" t="s">
        <v>1067</v>
      </c>
      <c r="K225" t="s">
        <v>1068</v>
      </c>
      <c r="L225">
        <v>1368</v>
      </c>
      <c r="N225">
        <v>1011</v>
      </c>
      <c r="O225" t="s">
        <v>802</v>
      </c>
      <c r="P225" t="s">
        <v>802</v>
      </c>
      <c r="Q225">
        <v>1</v>
      </c>
      <c r="X225">
        <v>6.7</v>
      </c>
      <c r="Y225">
        <v>0</v>
      </c>
      <c r="Z225">
        <v>90</v>
      </c>
      <c r="AA225">
        <v>10.06</v>
      </c>
      <c r="AB225">
        <v>0</v>
      </c>
      <c r="AC225">
        <v>0</v>
      </c>
      <c r="AD225">
        <v>1</v>
      </c>
      <c r="AE225">
        <v>0</v>
      </c>
      <c r="AF225" t="s">
        <v>53</v>
      </c>
      <c r="AG225">
        <v>10.049999999999999</v>
      </c>
      <c r="AH225">
        <v>2</v>
      </c>
      <c r="AI225">
        <v>39478027</v>
      </c>
      <c r="AJ225">
        <v>238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ROW(Source!A91)</f>
        <v>91</v>
      </c>
      <c r="B226">
        <v>39478028</v>
      </c>
      <c r="C226">
        <v>39478022</v>
      </c>
      <c r="D226">
        <v>36796579</v>
      </c>
      <c r="E226">
        <v>17</v>
      </c>
      <c r="F226">
        <v>1</v>
      </c>
      <c r="G226">
        <v>1</v>
      </c>
      <c r="H226">
        <v>3</v>
      </c>
      <c r="I226" t="s">
        <v>618</v>
      </c>
      <c r="J226" t="s">
        <v>3</v>
      </c>
      <c r="K226" t="s">
        <v>619</v>
      </c>
      <c r="L226">
        <v>1348</v>
      </c>
      <c r="N226">
        <v>1009</v>
      </c>
      <c r="O226" t="s">
        <v>34</v>
      </c>
      <c r="P226" t="s">
        <v>34</v>
      </c>
      <c r="Q226">
        <v>1000</v>
      </c>
      <c r="X226">
        <v>1.8E-3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3</v>
      </c>
      <c r="AG226">
        <v>1.8E-3</v>
      </c>
      <c r="AH226">
        <v>3</v>
      </c>
      <c r="AI226">
        <v>-1</v>
      </c>
      <c r="AJ226" t="s">
        <v>3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ROW(Source!A91)</f>
        <v>91</v>
      </c>
      <c r="B227">
        <v>39478029</v>
      </c>
      <c r="C227">
        <v>39478022</v>
      </c>
      <c r="D227">
        <v>36831561</v>
      </c>
      <c r="E227">
        <v>1</v>
      </c>
      <c r="F227">
        <v>1</v>
      </c>
      <c r="G227">
        <v>1</v>
      </c>
      <c r="H227">
        <v>3</v>
      </c>
      <c r="I227" t="s">
        <v>1069</v>
      </c>
      <c r="J227" t="s">
        <v>1070</v>
      </c>
      <c r="K227" t="s">
        <v>1071</v>
      </c>
      <c r="L227">
        <v>1339</v>
      </c>
      <c r="N227">
        <v>1007</v>
      </c>
      <c r="O227" t="s">
        <v>25</v>
      </c>
      <c r="P227" t="s">
        <v>25</v>
      </c>
      <c r="Q227">
        <v>1</v>
      </c>
      <c r="X227">
        <v>1.24</v>
      </c>
      <c r="Y227">
        <v>4319.09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1.24</v>
      </c>
      <c r="AH227">
        <v>2</v>
      </c>
      <c r="AI227">
        <v>39478029</v>
      </c>
      <c r="AJ227">
        <v>239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ROW(Source!A92)</f>
        <v>92</v>
      </c>
      <c r="B228">
        <v>39478032</v>
      </c>
      <c r="C228">
        <v>39478031</v>
      </c>
      <c r="D228">
        <v>37066837</v>
      </c>
      <c r="E228">
        <v>1</v>
      </c>
      <c r="F228">
        <v>1</v>
      </c>
      <c r="G228">
        <v>1</v>
      </c>
      <c r="H228">
        <v>1</v>
      </c>
      <c r="I228" t="s">
        <v>1049</v>
      </c>
      <c r="J228" t="s">
        <v>3</v>
      </c>
      <c r="K228" t="s">
        <v>1050</v>
      </c>
      <c r="L228">
        <v>1191</v>
      </c>
      <c r="N228">
        <v>1013</v>
      </c>
      <c r="O228" t="s">
        <v>796</v>
      </c>
      <c r="P228" t="s">
        <v>796</v>
      </c>
      <c r="Q228">
        <v>1</v>
      </c>
      <c r="X228">
        <v>42.4</v>
      </c>
      <c r="Y228">
        <v>0</v>
      </c>
      <c r="Z228">
        <v>0</v>
      </c>
      <c r="AA228">
        <v>0</v>
      </c>
      <c r="AB228">
        <v>8.31</v>
      </c>
      <c r="AC228">
        <v>0</v>
      </c>
      <c r="AD228">
        <v>1</v>
      </c>
      <c r="AE228">
        <v>1</v>
      </c>
      <c r="AF228" t="s">
        <v>54</v>
      </c>
      <c r="AG228">
        <v>58.511999999999993</v>
      </c>
      <c r="AH228">
        <v>2</v>
      </c>
      <c r="AI228">
        <v>39478032</v>
      </c>
      <c r="AJ228">
        <v>240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ROW(Source!A92)</f>
        <v>92</v>
      </c>
      <c r="B229">
        <v>39478033</v>
      </c>
      <c r="C229">
        <v>39478031</v>
      </c>
      <c r="D229">
        <v>37064876</v>
      </c>
      <c r="E229">
        <v>1</v>
      </c>
      <c r="F229">
        <v>1</v>
      </c>
      <c r="G229">
        <v>1</v>
      </c>
      <c r="H229">
        <v>1</v>
      </c>
      <c r="I229" t="s">
        <v>797</v>
      </c>
      <c r="J229" t="s">
        <v>3</v>
      </c>
      <c r="K229" t="s">
        <v>798</v>
      </c>
      <c r="L229">
        <v>1191</v>
      </c>
      <c r="N229">
        <v>1013</v>
      </c>
      <c r="O229" t="s">
        <v>796</v>
      </c>
      <c r="P229" t="s">
        <v>796</v>
      </c>
      <c r="Q229">
        <v>1</v>
      </c>
      <c r="X229">
        <v>0.85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53</v>
      </c>
      <c r="AG229">
        <v>1.2749999999999999</v>
      </c>
      <c r="AH229">
        <v>2</v>
      </c>
      <c r="AI229">
        <v>39478033</v>
      </c>
      <c r="AJ229">
        <v>241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ROW(Source!A92)</f>
        <v>92</v>
      </c>
      <c r="B230">
        <v>39478034</v>
      </c>
      <c r="C230">
        <v>39478031</v>
      </c>
      <c r="D230">
        <v>36882452</v>
      </c>
      <c r="E230">
        <v>1</v>
      </c>
      <c r="F230">
        <v>1</v>
      </c>
      <c r="G230">
        <v>1</v>
      </c>
      <c r="H230">
        <v>2</v>
      </c>
      <c r="I230" t="s">
        <v>799</v>
      </c>
      <c r="J230" t="s">
        <v>800</v>
      </c>
      <c r="K230" t="s">
        <v>801</v>
      </c>
      <c r="L230">
        <v>1368</v>
      </c>
      <c r="N230">
        <v>1011</v>
      </c>
      <c r="O230" t="s">
        <v>802</v>
      </c>
      <c r="P230" t="s">
        <v>802</v>
      </c>
      <c r="Q230">
        <v>1</v>
      </c>
      <c r="X230">
        <v>0.35</v>
      </c>
      <c r="Y230">
        <v>0</v>
      </c>
      <c r="Z230">
        <v>31.26</v>
      </c>
      <c r="AA230">
        <v>13.5</v>
      </c>
      <c r="AB230">
        <v>0</v>
      </c>
      <c r="AC230">
        <v>0</v>
      </c>
      <c r="AD230">
        <v>1</v>
      </c>
      <c r="AE230">
        <v>0</v>
      </c>
      <c r="AF230" t="s">
        <v>53</v>
      </c>
      <c r="AG230">
        <v>0.52500000000000002</v>
      </c>
      <c r="AH230">
        <v>2</v>
      </c>
      <c r="AI230">
        <v>39478034</v>
      </c>
      <c r="AJ230">
        <v>242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ROW(Source!A92)</f>
        <v>92</v>
      </c>
      <c r="B231">
        <v>39478035</v>
      </c>
      <c r="C231">
        <v>39478031</v>
      </c>
      <c r="D231">
        <v>36883554</v>
      </c>
      <c r="E231">
        <v>1</v>
      </c>
      <c r="F231">
        <v>1</v>
      </c>
      <c r="G231">
        <v>1</v>
      </c>
      <c r="H231">
        <v>2</v>
      </c>
      <c r="I231" t="s">
        <v>834</v>
      </c>
      <c r="J231" t="s">
        <v>835</v>
      </c>
      <c r="K231" t="s">
        <v>836</v>
      </c>
      <c r="L231">
        <v>1368</v>
      </c>
      <c r="N231">
        <v>1011</v>
      </c>
      <c r="O231" t="s">
        <v>802</v>
      </c>
      <c r="P231" t="s">
        <v>802</v>
      </c>
      <c r="Q231">
        <v>1</v>
      </c>
      <c r="X231">
        <v>0.5</v>
      </c>
      <c r="Y231">
        <v>0</v>
      </c>
      <c r="Z231">
        <v>65.709999999999994</v>
      </c>
      <c r="AA231">
        <v>11.6</v>
      </c>
      <c r="AB231">
        <v>0</v>
      </c>
      <c r="AC231">
        <v>0</v>
      </c>
      <c r="AD231">
        <v>1</v>
      </c>
      <c r="AE231">
        <v>0</v>
      </c>
      <c r="AF231" t="s">
        <v>53</v>
      </c>
      <c r="AG231">
        <v>0.75</v>
      </c>
      <c r="AH231">
        <v>2</v>
      </c>
      <c r="AI231">
        <v>39478035</v>
      </c>
      <c r="AJ231">
        <v>243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ROW(Source!A92)</f>
        <v>92</v>
      </c>
      <c r="B232">
        <v>39478036</v>
      </c>
      <c r="C232">
        <v>39478031</v>
      </c>
      <c r="D232">
        <v>36797243</v>
      </c>
      <c r="E232">
        <v>17</v>
      </c>
      <c r="F232">
        <v>1</v>
      </c>
      <c r="G232">
        <v>1</v>
      </c>
      <c r="H232">
        <v>3</v>
      </c>
      <c r="I232" t="s">
        <v>301</v>
      </c>
      <c r="J232" t="s">
        <v>3</v>
      </c>
      <c r="K232" t="s">
        <v>302</v>
      </c>
      <c r="L232">
        <v>1327</v>
      </c>
      <c r="N232">
        <v>1005</v>
      </c>
      <c r="O232" t="s">
        <v>61</v>
      </c>
      <c r="P232" t="s">
        <v>61</v>
      </c>
      <c r="Q232">
        <v>1</v>
      </c>
      <c r="X232">
        <v>102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 t="s">
        <v>3</v>
      </c>
      <c r="AG232">
        <v>102</v>
      </c>
      <c r="AH232">
        <v>2</v>
      </c>
      <c r="AI232">
        <v>39478036</v>
      </c>
      <c r="AJ232">
        <v>244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ROW(Source!A92)</f>
        <v>92</v>
      </c>
      <c r="B233">
        <v>39478037</v>
      </c>
      <c r="C233">
        <v>39478031</v>
      </c>
      <c r="D233">
        <v>36805524</v>
      </c>
      <c r="E233">
        <v>1</v>
      </c>
      <c r="F233">
        <v>1</v>
      </c>
      <c r="G233">
        <v>1</v>
      </c>
      <c r="H233">
        <v>3</v>
      </c>
      <c r="I233" t="s">
        <v>960</v>
      </c>
      <c r="J233" t="s">
        <v>961</v>
      </c>
      <c r="K233" t="s">
        <v>962</v>
      </c>
      <c r="L233">
        <v>1346</v>
      </c>
      <c r="N233">
        <v>1009</v>
      </c>
      <c r="O233" t="s">
        <v>217</v>
      </c>
      <c r="P233" t="s">
        <v>217</v>
      </c>
      <c r="Q233">
        <v>1</v>
      </c>
      <c r="X233">
        <v>0.5</v>
      </c>
      <c r="Y233">
        <v>1.82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0.5</v>
      </c>
      <c r="AH233">
        <v>2</v>
      </c>
      <c r="AI233">
        <v>39478037</v>
      </c>
      <c r="AJ233">
        <v>246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ROW(Source!A92)</f>
        <v>92</v>
      </c>
      <c r="B234">
        <v>39478038</v>
      </c>
      <c r="C234">
        <v>39478031</v>
      </c>
      <c r="D234">
        <v>36796764</v>
      </c>
      <c r="E234">
        <v>17</v>
      </c>
      <c r="F234">
        <v>1</v>
      </c>
      <c r="G234">
        <v>1</v>
      </c>
      <c r="H234">
        <v>3</v>
      </c>
      <c r="I234" t="s">
        <v>229</v>
      </c>
      <c r="J234" t="s">
        <v>3</v>
      </c>
      <c r="K234" t="s">
        <v>304</v>
      </c>
      <c r="L234">
        <v>1346</v>
      </c>
      <c r="N234">
        <v>1009</v>
      </c>
      <c r="O234" t="s">
        <v>217</v>
      </c>
      <c r="P234" t="s">
        <v>217</v>
      </c>
      <c r="Q234">
        <v>1</v>
      </c>
      <c r="X234">
        <v>50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3</v>
      </c>
      <c r="AG234">
        <v>50</v>
      </c>
      <c r="AH234">
        <v>2</v>
      </c>
      <c r="AI234">
        <v>39478038</v>
      </c>
      <c r="AJ234">
        <v>248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ROW(Source!A97)</f>
        <v>97</v>
      </c>
      <c r="B235">
        <v>39478068</v>
      </c>
      <c r="C235">
        <v>39478067</v>
      </c>
      <c r="D235">
        <v>37071037</v>
      </c>
      <c r="E235">
        <v>1</v>
      </c>
      <c r="F235">
        <v>1</v>
      </c>
      <c r="G235">
        <v>1</v>
      </c>
      <c r="H235">
        <v>1</v>
      </c>
      <c r="I235" t="s">
        <v>992</v>
      </c>
      <c r="J235" t="s">
        <v>3</v>
      </c>
      <c r="K235" t="s">
        <v>993</v>
      </c>
      <c r="L235">
        <v>1191</v>
      </c>
      <c r="N235">
        <v>1013</v>
      </c>
      <c r="O235" t="s">
        <v>796</v>
      </c>
      <c r="P235" t="s">
        <v>796</v>
      </c>
      <c r="Q235">
        <v>1</v>
      </c>
      <c r="X235">
        <v>38.26</v>
      </c>
      <c r="Y235">
        <v>0</v>
      </c>
      <c r="Z235">
        <v>0</v>
      </c>
      <c r="AA235">
        <v>0</v>
      </c>
      <c r="AB235">
        <v>9.6199999999999992</v>
      </c>
      <c r="AC235">
        <v>0</v>
      </c>
      <c r="AD235">
        <v>1</v>
      </c>
      <c r="AE235">
        <v>1</v>
      </c>
      <c r="AF235" t="s">
        <v>54</v>
      </c>
      <c r="AG235">
        <v>52.798799999999993</v>
      </c>
      <c r="AH235">
        <v>2</v>
      </c>
      <c r="AI235">
        <v>39478068</v>
      </c>
      <c r="AJ235">
        <v>249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ROW(Source!A97)</f>
        <v>97</v>
      </c>
      <c r="B236">
        <v>39478069</v>
      </c>
      <c r="C236">
        <v>39478067</v>
      </c>
      <c r="D236">
        <v>37064876</v>
      </c>
      <c r="E236">
        <v>1</v>
      </c>
      <c r="F236">
        <v>1</v>
      </c>
      <c r="G236">
        <v>1</v>
      </c>
      <c r="H236">
        <v>1</v>
      </c>
      <c r="I236" t="s">
        <v>797</v>
      </c>
      <c r="J236" t="s">
        <v>3</v>
      </c>
      <c r="K236" t="s">
        <v>798</v>
      </c>
      <c r="L236">
        <v>1191</v>
      </c>
      <c r="N236">
        <v>1013</v>
      </c>
      <c r="O236" t="s">
        <v>796</v>
      </c>
      <c r="P236" t="s">
        <v>796</v>
      </c>
      <c r="Q236">
        <v>1</v>
      </c>
      <c r="X236">
        <v>0.89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2</v>
      </c>
      <c r="AF236" t="s">
        <v>53</v>
      </c>
      <c r="AG236">
        <v>1.335</v>
      </c>
      <c r="AH236">
        <v>2</v>
      </c>
      <c r="AI236">
        <v>39478069</v>
      </c>
      <c r="AJ236">
        <v>250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ROW(Source!A97)</f>
        <v>97</v>
      </c>
      <c r="B237">
        <v>39478070</v>
      </c>
      <c r="C237">
        <v>39478067</v>
      </c>
      <c r="D237">
        <v>36882159</v>
      </c>
      <c r="E237">
        <v>1</v>
      </c>
      <c r="F237">
        <v>1</v>
      </c>
      <c r="G237">
        <v>1</v>
      </c>
      <c r="H237">
        <v>2</v>
      </c>
      <c r="I237" t="s">
        <v>825</v>
      </c>
      <c r="J237" t="s">
        <v>826</v>
      </c>
      <c r="K237" t="s">
        <v>827</v>
      </c>
      <c r="L237">
        <v>1368</v>
      </c>
      <c r="N237">
        <v>1011</v>
      </c>
      <c r="O237" t="s">
        <v>802</v>
      </c>
      <c r="P237" t="s">
        <v>802</v>
      </c>
      <c r="Q237">
        <v>1</v>
      </c>
      <c r="X237">
        <v>0.28999999999999998</v>
      </c>
      <c r="Y237">
        <v>0</v>
      </c>
      <c r="Z237">
        <v>111.99</v>
      </c>
      <c r="AA237">
        <v>13.5</v>
      </c>
      <c r="AB237">
        <v>0</v>
      </c>
      <c r="AC237">
        <v>0</v>
      </c>
      <c r="AD237">
        <v>1</v>
      </c>
      <c r="AE237">
        <v>0</v>
      </c>
      <c r="AF237" t="s">
        <v>53</v>
      </c>
      <c r="AG237">
        <v>0.435</v>
      </c>
      <c r="AH237">
        <v>2</v>
      </c>
      <c r="AI237">
        <v>39478070</v>
      </c>
      <c r="AJ237">
        <v>251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ROW(Source!A97)</f>
        <v>97</v>
      </c>
      <c r="B238">
        <v>39478071</v>
      </c>
      <c r="C238">
        <v>39478067</v>
      </c>
      <c r="D238">
        <v>36882161</v>
      </c>
      <c r="E238">
        <v>1</v>
      </c>
      <c r="F238">
        <v>1</v>
      </c>
      <c r="G238">
        <v>1</v>
      </c>
      <c r="H238">
        <v>2</v>
      </c>
      <c r="I238" t="s">
        <v>1072</v>
      </c>
      <c r="J238" t="s">
        <v>1073</v>
      </c>
      <c r="K238" t="s">
        <v>1074</v>
      </c>
      <c r="L238">
        <v>1368</v>
      </c>
      <c r="N238">
        <v>1011</v>
      </c>
      <c r="O238" t="s">
        <v>802</v>
      </c>
      <c r="P238" t="s">
        <v>802</v>
      </c>
      <c r="Q238">
        <v>1</v>
      </c>
      <c r="X238">
        <v>0.16</v>
      </c>
      <c r="Y238">
        <v>0</v>
      </c>
      <c r="Z238">
        <v>115.4</v>
      </c>
      <c r="AA238">
        <v>13.5</v>
      </c>
      <c r="AB238">
        <v>0</v>
      </c>
      <c r="AC238">
        <v>0</v>
      </c>
      <c r="AD238">
        <v>1</v>
      </c>
      <c r="AE238">
        <v>0</v>
      </c>
      <c r="AF238" t="s">
        <v>53</v>
      </c>
      <c r="AG238">
        <v>0.24</v>
      </c>
      <c r="AH238">
        <v>2</v>
      </c>
      <c r="AI238">
        <v>39478071</v>
      </c>
      <c r="AJ238">
        <v>252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ROW(Source!A97)</f>
        <v>97</v>
      </c>
      <c r="B239">
        <v>39478072</v>
      </c>
      <c r="C239">
        <v>39478067</v>
      </c>
      <c r="D239">
        <v>36882351</v>
      </c>
      <c r="E239">
        <v>1</v>
      </c>
      <c r="F239">
        <v>1</v>
      </c>
      <c r="G239">
        <v>1</v>
      </c>
      <c r="H239">
        <v>2</v>
      </c>
      <c r="I239" t="s">
        <v>1075</v>
      </c>
      <c r="J239" t="s">
        <v>1076</v>
      </c>
      <c r="K239" t="s">
        <v>1077</v>
      </c>
      <c r="L239">
        <v>1368</v>
      </c>
      <c r="N239">
        <v>1011</v>
      </c>
      <c r="O239" t="s">
        <v>802</v>
      </c>
      <c r="P239" t="s">
        <v>802</v>
      </c>
      <c r="Q239">
        <v>1</v>
      </c>
      <c r="X239">
        <v>10.09</v>
      </c>
      <c r="Y239">
        <v>0</v>
      </c>
      <c r="Z239">
        <v>6.66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53</v>
      </c>
      <c r="AG239">
        <v>15.135</v>
      </c>
      <c r="AH239">
        <v>2</v>
      </c>
      <c r="AI239">
        <v>39478072</v>
      </c>
      <c r="AJ239">
        <v>253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ROW(Source!A97)</f>
        <v>97</v>
      </c>
      <c r="B240">
        <v>39478073</v>
      </c>
      <c r="C240">
        <v>39478067</v>
      </c>
      <c r="D240">
        <v>36883554</v>
      </c>
      <c r="E240">
        <v>1</v>
      </c>
      <c r="F240">
        <v>1</v>
      </c>
      <c r="G240">
        <v>1</v>
      </c>
      <c r="H240">
        <v>2</v>
      </c>
      <c r="I240" t="s">
        <v>834</v>
      </c>
      <c r="J240" t="s">
        <v>835</v>
      </c>
      <c r="K240" t="s">
        <v>836</v>
      </c>
      <c r="L240">
        <v>1368</v>
      </c>
      <c r="N240">
        <v>1011</v>
      </c>
      <c r="O240" t="s">
        <v>802</v>
      </c>
      <c r="P240" t="s">
        <v>802</v>
      </c>
      <c r="Q240">
        <v>1</v>
      </c>
      <c r="X240">
        <v>0.44</v>
      </c>
      <c r="Y240">
        <v>0</v>
      </c>
      <c r="Z240">
        <v>65.709999999999994</v>
      </c>
      <c r="AA240">
        <v>11.6</v>
      </c>
      <c r="AB240">
        <v>0</v>
      </c>
      <c r="AC240">
        <v>0</v>
      </c>
      <c r="AD240">
        <v>1</v>
      </c>
      <c r="AE240">
        <v>0</v>
      </c>
      <c r="AF240" t="s">
        <v>53</v>
      </c>
      <c r="AG240">
        <v>0.66</v>
      </c>
      <c r="AH240">
        <v>2</v>
      </c>
      <c r="AI240">
        <v>39478073</v>
      </c>
      <c r="AJ240">
        <v>254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ROW(Source!A97)</f>
        <v>97</v>
      </c>
      <c r="B241">
        <v>39478074</v>
      </c>
      <c r="C241">
        <v>39478067</v>
      </c>
      <c r="D241">
        <v>36883789</v>
      </c>
      <c r="E241">
        <v>1</v>
      </c>
      <c r="F241">
        <v>1</v>
      </c>
      <c r="G241">
        <v>1</v>
      </c>
      <c r="H241">
        <v>2</v>
      </c>
      <c r="I241" t="s">
        <v>811</v>
      </c>
      <c r="J241" t="s">
        <v>812</v>
      </c>
      <c r="K241" t="s">
        <v>813</v>
      </c>
      <c r="L241">
        <v>1368</v>
      </c>
      <c r="N241">
        <v>1011</v>
      </c>
      <c r="O241" t="s">
        <v>802</v>
      </c>
      <c r="P241" t="s">
        <v>802</v>
      </c>
      <c r="Q241">
        <v>1</v>
      </c>
      <c r="X241">
        <v>2.09</v>
      </c>
      <c r="Y241">
        <v>0</v>
      </c>
      <c r="Z241">
        <v>1.2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53</v>
      </c>
      <c r="AG241">
        <v>3.1349999999999998</v>
      </c>
      <c r="AH241">
        <v>2</v>
      </c>
      <c r="AI241">
        <v>39478074</v>
      </c>
      <c r="AJ241">
        <v>255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ROW(Source!A97)</f>
        <v>97</v>
      </c>
      <c r="B242">
        <v>39478075</v>
      </c>
      <c r="C242">
        <v>39478067</v>
      </c>
      <c r="D242">
        <v>36883836</v>
      </c>
      <c r="E242">
        <v>1</v>
      </c>
      <c r="F242">
        <v>1</v>
      </c>
      <c r="G242">
        <v>1</v>
      </c>
      <c r="H242">
        <v>2</v>
      </c>
      <c r="I242" t="s">
        <v>837</v>
      </c>
      <c r="J242" t="s">
        <v>838</v>
      </c>
      <c r="K242" t="s">
        <v>839</v>
      </c>
      <c r="L242">
        <v>1368</v>
      </c>
      <c r="N242">
        <v>1011</v>
      </c>
      <c r="O242" t="s">
        <v>802</v>
      </c>
      <c r="P242" t="s">
        <v>802</v>
      </c>
      <c r="Q242">
        <v>1</v>
      </c>
      <c r="X242">
        <v>10.97</v>
      </c>
      <c r="Y242">
        <v>0</v>
      </c>
      <c r="Z242">
        <v>12.31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53</v>
      </c>
      <c r="AG242">
        <v>16.454999999999998</v>
      </c>
      <c r="AH242">
        <v>2</v>
      </c>
      <c r="AI242">
        <v>39478075</v>
      </c>
      <c r="AJ242">
        <v>256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ROW(Source!A97)</f>
        <v>97</v>
      </c>
      <c r="B243">
        <v>39478076</v>
      </c>
      <c r="C243">
        <v>39478067</v>
      </c>
      <c r="D243">
        <v>36800159</v>
      </c>
      <c r="E243">
        <v>1</v>
      </c>
      <c r="F243">
        <v>1</v>
      </c>
      <c r="G243">
        <v>1</v>
      </c>
      <c r="H243">
        <v>3</v>
      </c>
      <c r="I243" t="s">
        <v>817</v>
      </c>
      <c r="J243" t="s">
        <v>818</v>
      </c>
      <c r="K243" t="s">
        <v>819</v>
      </c>
      <c r="L243">
        <v>1339</v>
      </c>
      <c r="N243">
        <v>1007</v>
      </c>
      <c r="O243" t="s">
        <v>25</v>
      </c>
      <c r="P243" t="s">
        <v>25</v>
      </c>
      <c r="Q243">
        <v>1</v>
      </c>
      <c r="X243">
        <v>1.7</v>
      </c>
      <c r="Y243">
        <v>6.22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1.7</v>
      </c>
      <c r="AH243">
        <v>2</v>
      </c>
      <c r="AI243">
        <v>39478076</v>
      </c>
      <c r="AJ243">
        <v>257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ROW(Source!A97)</f>
        <v>97</v>
      </c>
      <c r="B244">
        <v>39478077</v>
      </c>
      <c r="C244">
        <v>39478067</v>
      </c>
      <c r="D244">
        <v>36800166</v>
      </c>
      <c r="E244">
        <v>1</v>
      </c>
      <c r="F244">
        <v>1</v>
      </c>
      <c r="G244">
        <v>1</v>
      </c>
      <c r="H244">
        <v>3</v>
      </c>
      <c r="I244" t="s">
        <v>840</v>
      </c>
      <c r="J244" t="s">
        <v>841</v>
      </c>
      <c r="K244" t="s">
        <v>842</v>
      </c>
      <c r="L244">
        <v>1346</v>
      </c>
      <c r="N244">
        <v>1009</v>
      </c>
      <c r="O244" t="s">
        <v>217</v>
      </c>
      <c r="P244" t="s">
        <v>217</v>
      </c>
      <c r="Q244">
        <v>1</v>
      </c>
      <c r="X244">
        <v>0.51</v>
      </c>
      <c r="Y244">
        <v>6.09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0.51</v>
      </c>
      <c r="AH244">
        <v>2</v>
      </c>
      <c r="AI244">
        <v>39478077</v>
      </c>
      <c r="AJ244">
        <v>258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ROW(Source!A97)</f>
        <v>97</v>
      </c>
      <c r="B245">
        <v>39478078</v>
      </c>
      <c r="C245">
        <v>39478067</v>
      </c>
      <c r="D245">
        <v>36803256</v>
      </c>
      <c r="E245">
        <v>1</v>
      </c>
      <c r="F245">
        <v>1</v>
      </c>
      <c r="G245">
        <v>1</v>
      </c>
      <c r="H245">
        <v>3</v>
      </c>
      <c r="I245" t="s">
        <v>1078</v>
      </c>
      <c r="J245" t="s">
        <v>1079</v>
      </c>
      <c r="K245" t="s">
        <v>1080</v>
      </c>
      <c r="L245">
        <v>1348</v>
      </c>
      <c r="N245">
        <v>1009</v>
      </c>
      <c r="O245" t="s">
        <v>34</v>
      </c>
      <c r="P245" t="s">
        <v>34</v>
      </c>
      <c r="Q245">
        <v>1000</v>
      </c>
      <c r="X245">
        <v>6.0000000000000001E-3</v>
      </c>
      <c r="Y245">
        <v>10315.01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6.0000000000000001E-3</v>
      </c>
      <c r="AH245">
        <v>2</v>
      </c>
      <c r="AI245">
        <v>39478078</v>
      </c>
      <c r="AJ245">
        <v>259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ROW(Source!A97)</f>
        <v>97</v>
      </c>
      <c r="B246">
        <v>39478079</v>
      </c>
      <c r="C246">
        <v>39478067</v>
      </c>
      <c r="D246">
        <v>36804447</v>
      </c>
      <c r="E246">
        <v>1</v>
      </c>
      <c r="F246">
        <v>1</v>
      </c>
      <c r="G246">
        <v>1</v>
      </c>
      <c r="H246">
        <v>3</v>
      </c>
      <c r="I246" t="s">
        <v>1081</v>
      </c>
      <c r="J246" t="s">
        <v>1082</v>
      </c>
      <c r="K246" t="s">
        <v>1083</v>
      </c>
      <c r="L246">
        <v>1348</v>
      </c>
      <c r="N246">
        <v>1009</v>
      </c>
      <c r="O246" t="s">
        <v>34</v>
      </c>
      <c r="P246" t="s">
        <v>34</v>
      </c>
      <c r="Q246">
        <v>1000</v>
      </c>
      <c r="X246">
        <v>3.0000000000000001E-5</v>
      </c>
      <c r="Y246">
        <v>9040.01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3.0000000000000001E-5</v>
      </c>
      <c r="AH246">
        <v>2</v>
      </c>
      <c r="AI246">
        <v>39478079</v>
      </c>
      <c r="AJ246">
        <v>260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ROW(Source!A97)</f>
        <v>97</v>
      </c>
      <c r="B247">
        <v>39478080</v>
      </c>
      <c r="C247">
        <v>39478067</v>
      </c>
      <c r="D247">
        <v>36804545</v>
      </c>
      <c r="E247">
        <v>1</v>
      </c>
      <c r="F247">
        <v>1</v>
      </c>
      <c r="G247">
        <v>1</v>
      </c>
      <c r="H247">
        <v>3</v>
      </c>
      <c r="I247" t="s">
        <v>846</v>
      </c>
      <c r="J247" t="s">
        <v>847</v>
      </c>
      <c r="K247" t="s">
        <v>848</v>
      </c>
      <c r="L247">
        <v>1348</v>
      </c>
      <c r="N247">
        <v>1009</v>
      </c>
      <c r="O247" t="s">
        <v>34</v>
      </c>
      <c r="P247" t="s">
        <v>34</v>
      </c>
      <c r="Q247">
        <v>1000</v>
      </c>
      <c r="X247">
        <v>1.0000000000000001E-5</v>
      </c>
      <c r="Y247">
        <v>11978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1.0000000000000001E-5</v>
      </c>
      <c r="AH247">
        <v>2</v>
      </c>
      <c r="AI247">
        <v>39478080</v>
      </c>
      <c r="AJ247">
        <v>261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ROW(Source!A97)</f>
        <v>97</v>
      </c>
      <c r="B248">
        <v>39478081</v>
      </c>
      <c r="C248">
        <v>39478067</v>
      </c>
      <c r="D248">
        <v>36805527</v>
      </c>
      <c r="E248">
        <v>1</v>
      </c>
      <c r="F248">
        <v>1</v>
      </c>
      <c r="G248">
        <v>1</v>
      </c>
      <c r="H248">
        <v>3</v>
      </c>
      <c r="I248" t="s">
        <v>849</v>
      </c>
      <c r="J248" t="s">
        <v>850</v>
      </c>
      <c r="K248" t="s">
        <v>851</v>
      </c>
      <c r="L248">
        <v>1348</v>
      </c>
      <c r="N248">
        <v>1009</v>
      </c>
      <c r="O248" t="s">
        <v>34</v>
      </c>
      <c r="P248" t="s">
        <v>34</v>
      </c>
      <c r="Q248">
        <v>1000</v>
      </c>
      <c r="X248">
        <v>1E-4</v>
      </c>
      <c r="Y248">
        <v>37900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1E-4</v>
      </c>
      <c r="AH248">
        <v>2</v>
      </c>
      <c r="AI248">
        <v>39478081</v>
      </c>
      <c r="AJ248">
        <v>262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ROW(Source!A97)</f>
        <v>97</v>
      </c>
      <c r="B249">
        <v>39478082</v>
      </c>
      <c r="C249">
        <v>39478067</v>
      </c>
      <c r="D249">
        <v>36796419</v>
      </c>
      <c r="E249">
        <v>17</v>
      </c>
      <c r="F249">
        <v>1</v>
      </c>
      <c r="G249">
        <v>1</v>
      </c>
      <c r="H249">
        <v>3</v>
      </c>
      <c r="I249" t="s">
        <v>1243</v>
      </c>
      <c r="J249" t="s">
        <v>3</v>
      </c>
      <c r="K249" t="s">
        <v>1244</v>
      </c>
      <c r="L249">
        <v>1348</v>
      </c>
      <c r="N249">
        <v>1009</v>
      </c>
      <c r="O249" t="s">
        <v>34</v>
      </c>
      <c r="P249" t="s">
        <v>34</v>
      </c>
      <c r="Q249">
        <v>1000</v>
      </c>
      <c r="X249">
        <v>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3</v>
      </c>
      <c r="AG249">
        <v>1</v>
      </c>
      <c r="AH249">
        <v>3</v>
      </c>
      <c r="AI249">
        <v>-1</v>
      </c>
      <c r="AJ249" t="s">
        <v>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ROW(Source!A97)</f>
        <v>97</v>
      </c>
      <c r="B250">
        <v>39478083</v>
      </c>
      <c r="C250">
        <v>39478067</v>
      </c>
      <c r="D250">
        <v>36825287</v>
      </c>
      <c r="E250">
        <v>1</v>
      </c>
      <c r="F250">
        <v>1</v>
      </c>
      <c r="G250">
        <v>1</v>
      </c>
      <c r="H250">
        <v>3</v>
      </c>
      <c r="I250" t="s">
        <v>855</v>
      </c>
      <c r="J250" t="s">
        <v>856</v>
      </c>
      <c r="K250" t="s">
        <v>857</v>
      </c>
      <c r="L250">
        <v>1302</v>
      </c>
      <c r="N250">
        <v>1003</v>
      </c>
      <c r="O250" t="s">
        <v>466</v>
      </c>
      <c r="P250" t="s">
        <v>466</v>
      </c>
      <c r="Q250">
        <v>10</v>
      </c>
      <c r="X250">
        <v>1.8700000000000001E-2</v>
      </c>
      <c r="Y250">
        <v>50.24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1.8700000000000001E-2</v>
      </c>
      <c r="AH250">
        <v>2</v>
      </c>
      <c r="AI250">
        <v>39478083</v>
      </c>
      <c r="AJ250">
        <v>264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ROW(Source!A97)</f>
        <v>97</v>
      </c>
      <c r="B251">
        <v>39478084</v>
      </c>
      <c r="C251">
        <v>39478067</v>
      </c>
      <c r="D251">
        <v>36825646</v>
      </c>
      <c r="E251">
        <v>1</v>
      </c>
      <c r="F251">
        <v>1</v>
      </c>
      <c r="G251">
        <v>1</v>
      </c>
      <c r="H251">
        <v>3</v>
      </c>
      <c r="I251" t="s">
        <v>858</v>
      </c>
      <c r="J251" t="s">
        <v>859</v>
      </c>
      <c r="K251" t="s">
        <v>860</v>
      </c>
      <c r="L251">
        <v>1348</v>
      </c>
      <c r="N251">
        <v>1009</v>
      </c>
      <c r="O251" t="s">
        <v>34</v>
      </c>
      <c r="P251" t="s">
        <v>34</v>
      </c>
      <c r="Q251">
        <v>1000</v>
      </c>
      <c r="X251">
        <v>3.0000000000000001E-5</v>
      </c>
      <c r="Y251">
        <v>4455.2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3.0000000000000001E-5</v>
      </c>
      <c r="AH251">
        <v>2</v>
      </c>
      <c r="AI251">
        <v>39478084</v>
      </c>
      <c r="AJ251">
        <v>265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ROW(Source!A97)</f>
        <v>97</v>
      </c>
      <c r="B252">
        <v>39478085</v>
      </c>
      <c r="C252">
        <v>39478067</v>
      </c>
      <c r="D252">
        <v>36826406</v>
      </c>
      <c r="E252">
        <v>1</v>
      </c>
      <c r="F252">
        <v>1</v>
      </c>
      <c r="G252">
        <v>1</v>
      </c>
      <c r="H252">
        <v>3</v>
      </c>
      <c r="I252" t="s">
        <v>861</v>
      </c>
      <c r="J252" t="s">
        <v>862</v>
      </c>
      <c r="K252" t="s">
        <v>863</v>
      </c>
      <c r="L252">
        <v>1348</v>
      </c>
      <c r="N252">
        <v>1009</v>
      </c>
      <c r="O252" t="s">
        <v>34</v>
      </c>
      <c r="P252" t="s">
        <v>34</v>
      </c>
      <c r="Q252">
        <v>1000</v>
      </c>
      <c r="X252">
        <v>1.9400000000000001E-3</v>
      </c>
      <c r="Y252">
        <v>4920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1.9400000000000001E-3</v>
      </c>
      <c r="AH252">
        <v>2</v>
      </c>
      <c r="AI252">
        <v>39478085</v>
      </c>
      <c r="AJ252">
        <v>266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ROW(Source!A97)</f>
        <v>97</v>
      </c>
      <c r="B253">
        <v>39478086</v>
      </c>
      <c r="C253">
        <v>39478067</v>
      </c>
      <c r="D253">
        <v>36830313</v>
      </c>
      <c r="E253">
        <v>1</v>
      </c>
      <c r="F253">
        <v>1</v>
      </c>
      <c r="G253">
        <v>1</v>
      </c>
      <c r="H253">
        <v>3</v>
      </c>
      <c r="I253" t="s">
        <v>864</v>
      </c>
      <c r="J253" t="s">
        <v>865</v>
      </c>
      <c r="K253" t="s">
        <v>866</v>
      </c>
      <c r="L253">
        <v>1339</v>
      </c>
      <c r="N253">
        <v>1007</v>
      </c>
      <c r="O253" t="s">
        <v>25</v>
      </c>
      <c r="P253" t="s">
        <v>25</v>
      </c>
      <c r="Q253">
        <v>1</v>
      </c>
      <c r="X253">
        <v>5.0000000000000001E-4</v>
      </c>
      <c r="Y253">
        <v>1700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5.0000000000000001E-4</v>
      </c>
      <c r="AH253">
        <v>2</v>
      </c>
      <c r="AI253">
        <v>39478086</v>
      </c>
      <c r="AJ253">
        <v>267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ROW(Source!A97)</f>
        <v>97</v>
      </c>
      <c r="B254">
        <v>39478087</v>
      </c>
      <c r="C254">
        <v>39478067</v>
      </c>
      <c r="D254">
        <v>36837948</v>
      </c>
      <c r="E254">
        <v>1</v>
      </c>
      <c r="F254">
        <v>1</v>
      </c>
      <c r="G254">
        <v>1</v>
      </c>
      <c r="H254">
        <v>3</v>
      </c>
      <c r="I254" t="s">
        <v>867</v>
      </c>
      <c r="J254" t="s">
        <v>868</v>
      </c>
      <c r="K254" t="s">
        <v>869</v>
      </c>
      <c r="L254">
        <v>1348</v>
      </c>
      <c r="N254">
        <v>1009</v>
      </c>
      <c r="O254" t="s">
        <v>34</v>
      </c>
      <c r="P254" t="s">
        <v>34</v>
      </c>
      <c r="Q254">
        <v>1000</v>
      </c>
      <c r="X254">
        <v>3.1E-4</v>
      </c>
      <c r="Y254">
        <v>15620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3.1E-4</v>
      </c>
      <c r="AH254">
        <v>2</v>
      </c>
      <c r="AI254">
        <v>39478087</v>
      </c>
      <c r="AJ254">
        <v>268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ROW(Source!A97)</f>
        <v>97</v>
      </c>
      <c r="B255">
        <v>39478088</v>
      </c>
      <c r="C255">
        <v>39478067</v>
      </c>
      <c r="D255">
        <v>36839146</v>
      </c>
      <c r="E255">
        <v>1</v>
      </c>
      <c r="F255">
        <v>1</v>
      </c>
      <c r="G255">
        <v>1</v>
      </c>
      <c r="H255">
        <v>3</v>
      </c>
      <c r="I255" t="s">
        <v>870</v>
      </c>
      <c r="J255" t="s">
        <v>871</v>
      </c>
      <c r="K255" t="s">
        <v>872</v>
      </c>
      <c r="L255">
        <v>1348</v>
      </c>
      <c r="N255">
        <v>1009</v>
      </c>
      <c r="O255" t="s">
        <v>34</v>
      </c>
      <c r="P255" t="s">
        <v>34</v>
      </c>
      <c r="Q255">
        <v>1000</v>
      </c>
      <c r="X255">
        <v>5.9999999999999995E-4</v>
      </c>
      <c r="Y255">
        <v>9420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5.9999999999999995E-4</v>
      </c>
      <c r="AH255">
        <v>2</v>
      </c>
      <c r="AI255">
        <v>39478088</v>
      </c>
      <c r="AJ255">
        <v>269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ROW(Source!A133)</f>
        <v>133</v>
      </c>
      <c r="B256">
        <v>39478299</v>
      </c>
      <c r="C256">
        <v>39478298</v>
      </c>
      <c r="D256">
        <v>37064878</v>
      </c>
      <c r="E256">
        <v>1</v>
      </c>
      <c r="F256">
        <v>1</v>
      </c>
      <c r="G256">
        <v>1</v>
      </c>
      <c r="H256">
        <v>1</v>
      </c>
      <c r="I256" t="s">
        <v>820</v>
      </c>
      <c r="J256" t="s">
        <v>3</v>
      </c>
      <c r="K256" t="s">
        <v>821</v>
      </c>
      <c r="L256">
        <v>1191</v>
      </c>
      <c r="N256">
        <v>1013</v>
      </c>
      <c r="O256" t="s">
        <v>796</v>
      </c>
      <c r="P256" t="s">
        <v>796</v>
      </c>
      <c r="Q256">
        <v>1</v>
      </c>
      <c r="X256">
        <v>6.29</v>
      </c>
      <c r="Y256">
        <v>0</v>
      </c>
      <c r="Z256">
        <v>0</v>
      </c>
      <c r="AA256">
        <v>0</v>
      </c>
      <c r="AB256">
        <v>9.4</v>
      </c>
      <c r="AC256">
        <v>0</v>
      </c>
      <c r="AD256">
        <v>1</v>
      </c>
      <c r="AE256">
        <v>1</v>
      </c>
      <c r="AF256" t="s">
        <v>371</v>
      </c>
      <c r="AG256">
        <v>7.548</v>
      </c>
      <c r="AH256">
        <v>2</v>
      </c>
      <c r="AI256">
        <v>39478299</v>
      </c>
      <c r="AJ256">
        <v>270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ROW(Source!A133)</f>
        <v>133</v>
      </c>
      <c r="B257">
        <v>39478300</v>
      </c>
      <c r="C257">
        <v>39478298</v>
      </c>
      <c r="D257">
        <v>37064876</v>
      </c>
      <c r="E257">
        <v>1</v>
      </c>
      <c r="F257">
        <v>1</v>
      </c>
      <c r="G257">
        <v>1</v>
      </c>
      <c r="H257">
        <v>1</v>
      </c>
      <c r="I257" t="s">
        <v>797</v>
      </c>
      <c r="J257" t="s">
        <v>3</v>
      </c>
      <c r="K257" t="s">
        <v>798</v>
      </c>
      <c r="L257">
        <v>1191</v>
      </c>
      <c r="N257">
        <v>1013</v>
      </c>
      <c r="O257" t="s">
        <v>796</v>
      </c>
      <c r="P257" t="s">
        <v>796</v>
      </c>
      <c r="Q257">
        <v>1</v>
      </c>
      <c r="X257">
        <v>0.06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2</v>
      </c>
      <c r="AF257" t="s">
        <v>371</v>
      </c>
      <c r="AG257">
        <v>7.1999999999999995E-2</v>
      </c>
      <c r="AH257">
        <v>2</v>
      </c>
      <c r="AI257">
        <v>39478300</v>
      </c>
      <c r="AJ257">
        <v>271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ROW(Source!A133)</f>
        <v>133</v>
      </c>
      <c r="B258">
        <v>39478301</v>
      </c>
      <c r="C258">
        <v>39478298</v>
      </c>
      <c r="D258">
        <v>36882159</v>
      </c>
      <c r="E258">
        <v>1</v>
      </c>
      <c r="F258">
        <v>1</v>
      </c>
      <c r="G258">
        <v>1</v>
      </c>
      <c r="H258">
        <v>2</v>
      </c>
      <c r="I258" t="s">
        <v>825</v>
      </c>
      <c r="J258" t="s">
        <v>826</v>
      </c>
      <c r="K258" t="s">
        <v>827</v>
      </c>
      <c r="L258">
        <v>1368</v>
      </c>
      <c r="N258">
        <v>1011</v>
      </c>
      <c r="O258" t="s">
        <v>802</v>
      </c>
      <c r="P258" t="s">
        <v>802</v>
      </c>
      <c r="Q258">
        <v>1</v>
      </c>
      <c r="X258">
        <v>0.03</v>
      </c>
      <c r="Y258">
        <v>0</v>
      </c>
      <c r="Z258">
        <v>111.99</v>
      </c>
      <c r="AA258">
        <v>13.5</v>
      </c>
      <c r="AB258">
        <v>0</v>
      </c>
      <c r="AC258">
        <v>0</v>
      </c>
      <c r="AD258">
        <v>1</v>
      </c>
      <c r="AE258">
        <v>0</v>
      </c>
      <c r="AF258" t="s">
        <v>371</v>
      </c>
      <c r="AG258">
        <v>3.5999999999999997E-2</v>
      </c>
      <c r="AH258">
        <v>2</v>
      </c>
      <c r="AI258">
        <v>39478301</v>
      </c>
      <c r="AJ258">
        <v>272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ROW(Source!A133)</f>
        <v>133</v>
      </c>
      <c r="B259">
        <v>39478302</v>
      </c>
      <c r="C259">
        <v>39478298</v>
      </c>
      <c r="D259">
        <v>36883554</v>
      </c>
      <c r="E259">
        <v>1</v>
      </c>
      <c r="F259">
        <v>1</v>
      </c>
      <c r="G259">
        <v>1</v>
      </c>
      <c r="H259">
        <v>2</v>
      </c>
      <c r="I259" t="s">
        <v>834</v>
      </c>
      <c r="J259" t="s">
        <v>835</v>
      </c>
      <c r="K259" t="s">
        <v>836</v>
      </c>
      <c r="L259">
        <v>1368</v>
      </c>
      <c r="N259">
        <v>1011</v>
      </c>
      <c r="O259" t="s">
        <v>802</v>
      </c>
      <c r="P259" t="s">
        <v>802</v>
      </c>
      <c r="Q259">
        <v>1</v>
      </c>
      <c r="X259">
        <v>0.03</v>
      </c>
      <c r="Y259">
        <v>0</v>
      </c>
      <c r="Z259">
        <v>65.709999999999994</v>
      </c>
      <c r="AA259">
        <v>11.6</v>
      </c>
      <c r="AB259">
        <v>0</v>
      </c>
      <c r="AC259">
        <v>0</v>
      </c>
      <c r="AD259">
        <v>1</v>
      </c>
      <c r="AE259">
        <v>0</v>
      </c>
      <c r="AF259" t="s">
        <v>371</v>
      </c>
      <c r="AG259">
        <v>3.5999999999999997E-2</v>
      </c>
      <c r="AH259">
        <v>2</v>
      </c>
      <c r="AI259">
        <v>39478302</v>
      </c>
      <c r="AJ259">
        <v>273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ROW(Source!A133)</f>
        <v>133</v>
      </c>
      <c r="B260">
        <v>39478303</v>
      </c>
      <c r="C260">
        <v>39478298</v>
      </c>
      <c r="D260">
        <v>36802094</v>
      </c>
      <c r="E260">
        <v>1</v>
      </c>
      <c r="F260">
        <v>1</v>
      </c>
      <c r="G260">
        <v>1</v>
      </c>
      <c r="H260">
        <v>3</v>
      </c>
      <c r="I260" t="s">
        <v>1084</v>
      </c>
      <c r="J260" t="s">
        <v>1085</v>
      </c>
      <c r="K260" t="s">
        <v>1086</v>
      </c>
      <c r="L260">
        <v>1346</v>
      </c>
      <c r="N260">
        <v>1009</v>
      </c>
      <c r="O260" t="s">
        <v>217</v>
      </c>
      <c r="P260" t="s">
        <v>217</v>
      </c>
      <c r="Q260">
        <v>1</v>
      </c>
      <c r="X260">
        <v>0.32</v>
      </c>
      <c r="Y260">
        <v>30.4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0.32</v>
      </c>
      <c r="AH260">
        <v>2</v>
      </c>
      <c r="AI260">
        <v>39478303</v>
      </c>
      <c r="AJ260">
        <v>274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ROW(Source!A133)</f>
        <v>133</v>
      </c>
      <c r="B261">
        <v>39478304</v>
      </c>
      <c r="C261">
        <v>39478298</v>
      </c>
      <c r="D261">
        <v>36802373</v>
      </c>
      <c r="E261">
        <v>1</v>
      </c>
      <c r="F261">
        <v>1</v>
      </c>
      <c r="G261">
        <v>1</v>
      </c>
      <c r="H261">
        <v>3</v>
      </c>
      <c r="I261" t="s">
        <v>1087</v>
      </c>
      <c r="J261" t="s">
        <v>1088</v>
      </c>
      <c r="K261" t="s">
        <v>1089</v>
      </c>
      <c r="L261">
        <v>1348</v>
      </c>
      <c r="N261">
        <v>1009</v>
      </c>
      <c r="O261" t="s">
        <v>34</v>
      </c>
      <c r="P261" t="s">
        <v>34</v>
      </c>
      <c r="Q261">
        <v>1000</v>
      </c>
      <c r="X261">
        <v>1.0499999999999999E-3</v>
      </c>
      <c r="Y261">
        <v>1820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1.0499999999999999E-3</v>
      </c>
      <c r="AH261">
        <v>2</v>
      </c>
      <c r="AI261">
        <v>39478304</v>
      </c>
      <c r="AJ261">
        <v>275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ROW(Source!A133)</f>
        <v>133</v>
      </c>
      <c r="B262">
        <v>39478305</v>
      </c>
      <c r="C262">
        <v>39478298</v>
      </c>
      <c r="D262">
        <v>36838317</v>
      </c>
      <c r="E262">
        <v>1</v>
      </c>
      <c r="F262">
        <v>1</v>
      </c>
      <c r="G262">
        <v>1</v>
      </c>
      <c r="H262">
        <v>3</v>
      </c>
      <c r="I262" t="s">
        <v>1090</v>
      </c>
      <c r="J262" t="s">
        <v>1091</v>
      </c>
      <c r="K262" t="s">
        <v>1092</v>
      </c>
      <c r="L262">
        <v>1346</v>
      </c>
      <c r="N262">
        <v>1009</v>
      </c>
      <c r="O262" t="s">
        <v>217</v>
      </c>
      <c r="P262" t="s">
        <v>217</v>
      </c>
      <c r="Q262">
        <v>1</v>
      </c>
      <c r="X262">
        <v>0.02</v>
      </c>
      <c r="Y262">
        <v>28.6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0.02</v>
      </c>
      <c r="AH262">
        <v>2</v>
      </c>
      <c r="AI262">
        <v>39478305</v>
      </c>
      <c r="AJ262">
        <v>276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ROW(Source!A133)</f>
        <v>133</v>
      </c>
      <c r="B263">
        <v>39478306</v>
      </c>
      <c r="C263">
        <v>39478298</v>
      </c>
      <c r="D263">
        <v>36852011</v>
      </c>
      <c r="E263">
        <v>1</v>
      </c>
      <c r="F263">
        <v>1</v>
      </c>
      <c r="G263">
        <v>1</v>
      </c>
      <c r="H263">
        <v>3</v>
      </c>
      <c r="I263" t="s">
        <v>1093</v>
      </c>
      <c r="J263" t="s">
        <v>1094</v>
      </c>
      <c r="K263" t="s">
        <v>1095</v>
      </c>
      <c r="L263">
        <v>1355</v>
      </c>
      <c r="N263">
        <v>1010</v>
      </c>
      <c r="O263" t="s">
        <v>429</v>
      </c>
      <c r="P263" t="s">
        <v>429</v>
      </c>
      <c r="Q263">
        <v>100</v>
      </c>
      <c r="X263">
        <v>0.05</v>
      </c>
      <c r="Y263">
        <v>143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0.05</v>
      </c>
      <c r="AH263">
        <v>2</v>
      </c>
      <c r="AI263">
        <v>39478306</v>
      </c>
      <c r="AJ263">
        <v>277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ROW(Source!A133)</f>
        <v>133</v>
      </c>
      <c r="B264">
        <v>39478307</v>
      </c>
      <c r="C264">
        <v>39478298</v>
      </c>
      <c r="D264">
        <v>36852061</v>
      </c>
      <c r="E264">
        <v>1</v>
      </c>
      <c r="F264">
        <v>1</v>
      </c>
      <c r="G264">
        <v>1</v>
      </c>
      <c r="H264">
        <v>3</v>
      </c>
      <c r="I264" t="s">
        <v>1096</v>
      </c>
      <c r="J264" t="s">
        <v>1097</v>
      </c>
      <c r="K264" t="s">
        <v>1098</v>
      </c>
      <c r="L264">
        <v>1356</v>
      </c>
      <c r="N264">
        <v>1010</v>
      </c>
      <c r="O264" t="s">
        <v>259</v>
      </c>
      <c r="P264" t="s">
        <v>259</v>
      </c>
      <c r="Q264">
        <v>1000</v>
      </c>
      <c r="X264">
        <v>1.2200000000000001E-2</v>
      </c>
      <c r="Y264">
        <v>176.21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1.2200000000000001E-2</v>
      </c>
      <c r="AH264">
        <v>2</v>
      </c>
      <c r="AI264">
        <v>39478307</v>
      </c>
      <c r="AJ264">
        <v>278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ROW(Source!A133)</f>
        <v>133</v>
      </c>
      <c r="B265">
        <v>39478308</v>
      </c>
      <c r="C265">
        <v>39478298</v>
      </c>
      <c r="D265">
        <v>36799065</v>
      </c>
      <c r="E265">
        <v>17</v>
      </c>
      <c r="F265">
        <v>1</v>
      </c>
      <c r="G265">
        <v>1</v>
      </c>
      <c r="H265">
        <v>3</v>
      </c>
      <c r="I265" t="s">
        <v>1099</v>
      </c>
      <c r="J265" t="s">
        <v>3</v>
      </c>
      <c r="K265" t="s">
        <v>1100</v>
      </c>
      <c r="L265">
        <v>1374</v>
      </c>
      <c r="N265">
        <v>1013</v>
      </c>
      <c r="O265" t="s">
        <v>1101</v>
      </c>
      <c r="P265" t="s">
        <v>1101</v>
      </c>
      <c r="Q265">
        <v>1</v>
      </c>
      <c r="X265">
        <v>1.18</v>
      </c>
      <c r="Y265">
        <v>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1.18</v>
      </c>
      <c r="AH265">
        <v>2</v>
      </c>
      <c r="AI265">
        <v>39478308</v>
      </c>
      <c r="AJ265">
        <v>280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ROW(Source!A135)</f>
        <v>135</v>
      </c>
      <c r="B266">
        <v>39478310</v>
      </c>
      <c r="C266">
        <v>39478309</v>
      </c>
      <c r="D266">
        <v>37064878</v>
      </c>
      <c r="E266">
        <v>1</v>
      </c>
      <c r="F266">
        <v>1</v>
      </c>
      <c r="G266">
        <v>1</v>
      </c>
      <c r="H266">
        <v>1</v>
      </c>
      <c r="I266" t="s">
        <v>820</v>
      </c>
      <c r="J266" t="s">
        <v>3</v>
      </c>
      <c r="K266" t="s">
        <v>821</v>
      </c>
      <c r="L266">
        <v>1191</v>
      </c>
      <c r="N266">
        <v>1013</v>
      </c>
      <c r="O266" t="s">
        <v>796</v>
      </c>
      <c r="P266" t="s">
        <v>796</v>
      </c>
      <c r="Q266">
        <v>1</v>
      </c>
      <c r="X266">
        <v>8.9600000000000009</v>
      </c>
      <c r="Y266">
        <v>0</v>
      </c>
      <c r="Z266">
        <v>0</v>
      </c>
      <c r="AA266">
        <v>0</v>
      </c>
      <c r="AB266">
        <v>9.4</v>
      </c>
      <c r="AC266">
        <v>0</v>
      </c>
      <c r="AD266">
        <v>1</v>
      </c>
      <c r="AE266">
        <v>1</v>
      </c>
      <c r="AF266" t="s">
        <v>371</v>
      </c>
      <c r="AG266">
        <v>10.752000000000001</v>
      </c>
      <c r="AH266">
        <v>2</v>
      </c>
      <c r="AI266">
        <v>39478310</v>
      </c>
      <c r="AJ266">
        <v>281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ROW(Source!A135)</f>
        <v>135</v>
      </c>
      <c r="B267">
        <v>39478311</v>
      </c>
      <c r="C267">
        <v>39478309</v>
      </c>
      <c r="D267">
        <v>37064876</v>
      </c>
      <c r="E267">
        <v>1</v>
      </c>
      <c r="F267">
        <v>1</v>
      </c>
      <c r="G267">
        <v>1</v>
      </c>
      <c r="H267">
        <v>1</v>
      </c>
      <c r="I267" t="s">
        <v>797</v>
      </c>
      <c r="J267" t="s">
        <v>3</v>
      </c>
      <c r="K267" t="s">
        <v>798</v>
      </c>
      <c r="L267">
        <v>1191</v>
      </c>
      <c r="N267">
        <v>1013</v>
      </c>
      <c r="O267" t="s">
        <v>796</v>
      </c>
      <c r="P267" t="s">
        <v>796</v>
      </c>
      <c r="Q267">
        <v>1</v>
      </c>
      <c r="X267">
        <v>0.12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2</v>
      </c>
      <c r="AF267" t="s">
        <v>371</v>
      </c>
      <c r="AG267">
        <v>0.14399999999999999</v>
      </c>
      <c r="AH267">
        <v>2</v>
      </c>
      <c r="AI267">
        <v>39478311</v>
      </c>
      <c r="AJ267">
        <v>282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ROW(Source!A135)</f>
        <v>135</v>
      </c>
      <c r="B268">
        <v>39478312</v>
      </c>
      <c r="C268">
        <v>39478309</v>
      </c>
      <c r="D268">
        <v>36882159</v>
      </c>
      <c r="E268">
        <v>1</v>
      </c>
      <c r="F268">
        <v>1</v>
      </c>
      <c r="G268">
        <v>1</v>
      </c>
      <c r="H268">
        <v>2</v>
      </c>
      <c r="I268" t="s">
        <v>825</v>
      </c>
      <c r="J268" t="s">
        <v>826</v>
      </c>
      <c r="K268" t="s">
        <v>827</v>
      </c>
      <c r="L268">
        <v>1368</v>
      </c>
      <c r="N268">
        <v>1011</v>
      </c>
      <c r="O268" t="s">
        <v>802</v>
      </c>
      <c r="P268" t="s">
        <v>802</v>
      </c>
      <c r="Q268">
        <v>1</v>
      </c>
      <c r="X268">
        <v>0.06</v>
      </c>
      <c r="Y268">
        <v>0</v>
      </c>
      <c r="Z268">
        <v>111.99</v>
      </c>
      <c r="AA268">
        <v>13.5</v>
      </c>
      <c r="AB268">
        <v>0</v>
      </c>
      <c r="AC268">
        <v>0</v>
      </c>
      <c r="AD268">
        <v>1</v>
      </c>
      <c r="AE268">
        <v>0</v>
      </c>
      <c r="AF268" t="s">
        <v>371</v>
      </c>
      <c r="AG268">
        <v>7.1999999999999995E-2</v>
      </c>
      <c r="AH268">
        <v>2</v>
      </c>
      <c r="AI268">
        <v>39478312</v>
      </c>
      <c r="AJ268">
        <v>283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ROW(Source!A135)</f>
        <v>135</v>
      </c>
      <c r="B269">
        <v>39478313</v>
      </c>
      <c r="C269">
        <v>39478309</v>
      </c>
      <c r="D269">
        <v>36883554</v>
      </c>
      <c r="E269">
        <v>1</v>
      </c>
      <c r="F269">
        <v>1</v>
      </c>
      <c r="G269">
        <v>1</v>
      </c>
      <c r="H269">
        <v>2</v>
      </c>
      <c r="I269" t="s">
        <v>834</v>
      </c>
      <c r="J269" t="s">
        <v>835</v>
      </c>
      <c r="K269" t="s">
        <v>836</v>
      </c>
      <c r="L269">
        <v>1368</v>
      </c>
      <c r="N269">
        <v>1011</v>
      </c>
      <c r="O269" t="s">
        <v>802</v>
      </c>
      <c r="P269" t="s">
        <v>802</v>
      </c>
      <c r="Q269">
        <v>1</v>
      </c>
      <c r="X269">
        <v>0.06</v>
      </c>
      <c r="Y269">
        <v>0</v>
      </c>
      <c r="Z269">
        <v>65.709999999999994</v>
      </c>
      <c r="AA269">
        <v>11.6</v>
      </c>
      <c r="AB269">
        <v>0</v>
      </c>
      <c r="AC269">
        <v>0</v>
      </c>
      <c r="AD269">
        <v>1</v>
      </c>
      <c r="AE269">
        <v>0</v>
      </c>
      <c r="AF269" t="s">
        <v>371</v>
      </c>
      <c r="AG269">
        <v>7.1999999999999995E-2</v>
      </c>
      <c r="AH269">
        <v>2</v>
      </c>
      <c r="AI269">
        <v>39478313</v>
      </c>
      <c r="AJ269">
        <v>284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ROW(Source!A135)</f>
        <v>135</v>
      </c>
      <c r="B270">
        <v>39478314</v>
      </c>
      <c r="C270">
        <v>39478309</v>
      </c>
      <c r="D270">
        <v>36802094</v>
      </c>
      <c r="E270">
        <v>1</v>
      </c>
      <c r="F270">
        <v>1</v>
      </c>
      <c r="G270">
        <v>1</v>
      </c>
      <c r="H270">
        <v>3</v>
      </c>
      <c r="I270" t="s">
        <v>1084</v>
      </c>
      <c r="J270" t="s">
        <v>1085</v>
      </c>
      <c r="K270" t="s">
        <v>1086</v>
      </c>
      <c r="L270">
        <v>1346</v>
      </c>
      <c r="N270">
        <v>1009</v>
      </c>
      <c r="O270" t="s">
        <v>217</v>
      </c>
      <c r="P270" t="s">
        <v>217</v>
      </c>
      <c r="Q270">
        <v>1</v>
      </c>
      <c r="X270">
        <v>0.32</v>
      </c>
      <c r="Y270">
        <v>30.4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0.32</v>
      </c>
      <c r="AH270">
        <v>2</v>
      </c>
      <c r="AI270">
        <v>39478314</v>
      </c>
      <c r="AJ270">
        <v>285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ROW(Source!A135)</f>
        <v>135</v>
      </c>
      <c r="B271">
        <v>39478315</v>
      </c>
      <c r="C271">
        <v>39478309</v>
      </c>
      <c r="D271">
        <v>36802373</v>
      </c>
      <c r="E271">
        <v>1</v>
      </c>
      <c r="F271">
        <v>1</v>
      </c>
      <c r="G271">
        <v>1</v>
      </c>
      <c r="H271">
        <v>3</v>
      </c>
      <c r="I271" t="s">
        <v>1087</v>
      </c>
      <c r="J271" t="s">
        <v>1088</v>
      </c>
      <c r="K271" t="s">
        <v>1089</v>
      </c>
      <c r="L271">
        <v>1348</v>
      </c>
      <c r="N271">
        <v>1009</v>
      </c>
      <c r="O271" t="s">
        <v>34</v>
      </c>
      <c r="P271" t="s">
        <v>34</v>
      </c>
      <c r="Q271">
        <v>1000</v>
      </c>
      <c r="X271">
        <v>1.16E-3</v>
      </c>
      <c r="Y271">
        <v>1820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1.16E-3</v>
      </c>
      <c r="AH271">
        <v>2</v>
      </c>
      <c r="AI271">
        <v>39478315</v>
      </c>
      <c r="AJ271">
        <v>286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ROW(Source!A135)</f>
        <v>135</v>
      </c>
      <c r="B272">
        <v>39478316</v>
      </c>
      <c r="C272">
        <v>39478309</v>
      </c>
      <c r="D272">
        <v>36838317</v>
      </c>
      <c r="E272">
        <v>1</v>
      </c>
      <c r="F272">
        <v>1</v>
      </c>
      <c r="G272">
        <v>1</v>
      </c>
      <c r="H272">
        <v>3</v>
      </c>
      <c r="I272" t="s">
        <v>1090</v>
      </c>
      <c r="J272" t="s">
        <v>1091</v>
      </c>
      <c r="K272" t="s">
        <v>1092</v>
      </c>
      <c r="L272">
        <v>1346</v>
      </c>
      <c r="N272">
        <v>1009</v>
      </c>
      <c r="O272" t="s">
        <v>217</v>
      </c>
      <c r="P272" t="s">
        <v>217</v>
      </c>
      <c r="Q272">
        <v>1</v>
      </c>
      <c r="X272">
        <v>0.02</v>
      </c>
      <c r="Y272">
        <v>28.6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0.02</v>
      </c>
      <c r="AH272">
        <v>2</v>
      </c>
      <c r="AI272">
        <v>39478316</v>
      </c>
      <c r="AJ272">
        <v>287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ROW(Source!A135)</f>
        <v>135</v>
      </c>
      <c r="B273">
        <v>39478317</v>
      </c>
      <c r="C273">
        <v>39478309</v>
      </c>
      <c r="D273">
        <v>36852013</v>
      </c>
      <c r="E273">
        <v>1</v>
      </c>
      <c r="F273">
        <v>1</v>
      </c>
      <c r="G273">
        <v>1</v>
      </c>
      <c r="H273">
        <v>3</v>
      </c>
      <c r="I273" t="s">
        <v>1102</v>
      </c>
      <c r="J273" t="s">
        <v>1103</v>
      </c>
      <c r="K273" t="s">
        <v>1104</v>
      </c>
      <c r="L273">
        <v>1355</v>
      </c>
      <c r="N273">
        <v>1010</v>
      </c>
      <c r="O273" t="s">
        <v>429</v>
      </c>
      <c r="P273" t="s">
        <v>429</v>
      </c>
      <c r="Q273">
        <v>100</v>
      </c>
      <c r="X273">
        <v>0.05</v>
      </c>
      <c r="Y273">
        <v>378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0.05</v>
      </c>
      <c r="AH273">
        <v>2</v>
      </c>
      <c r="AI273">
        <v>39478317</v>
      </c>
      <c r="AJ273">
        <v>288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ROW(Source!A135)</f>
        <v>135</v>
      </c>
      <c r="B274">
        <v>39478318</v>
      </c>
      <c r="C274">
        <v>39478309</v>
      </c>
      <c r="D274">
        <v>36852062</v>
      </c>
      <c r="E274">
        <v>1</v>
      </c>
      <c r="F274">
        <v>1</v>
      </c>
      <c r="G274">
        <v>1</v>
      </c>
      <c r="H274">
        <v>3</v>
      </c>
      <c r="I274" t="s">
        <v>1105</v>
      </c>
      <c r="J274" t="s">
        <v>1106</v>
      </c>
      <c r="K274" t="s">
        <v>1107</v>
      </c>
      <c r="L274">
        <v>1356</v>
      </c>
      <c r="N274">
        <v>1010</v>
      </c>
      <c r="O274" t="s">
        <v>259</v>
      </c>
      <c r="P274" t="s">
        <v>259</v>
      </c>
      <c r="Q274">
        <v>1000</v>
      </c>
      <c r="X274">
        <v>1.2200000000000001E-2</v>
      </c>
      <c r="Y274">
        <v>282.02999999999997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1.2200000000000001E-2</v>
      </c>
      <c r="AH274">
        <v>2</v>
      </c>
      <c r="AI274">
        <v>39478318</v>
      </c>
      <c r="AJ274">
        <v>289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ROW(Source!A135)</f>
        <v>135</v>
      </c>
      <c r="B275">
        <v>39478319</v>
      </c>
      <c r="C275">
        <v>39478309</v>
      </c>
      <c r="D275">
        <v>36799065</v>
      </c>
      <c r="E275">
        <v>17</v>
      </c>
      <c r="F275">
        <v>1</v>
      </c>
      <c r="G275">
        <v>1</v>
      </c>
      <c r="H275">
        <v>3</v>
      </c>
      <c r="I275" t="s">
        <v>1099</v>
      </c>
      <c r="J275" t="s">
        <v>3</v>
      </c>
      <c r="K275" t="s">
        <v>1100</v>
      </c>
      <c r="L275">
        <v>1374</v>
      </c>
      <c r="N275">
        <v>1013</v>
      </c>
      <c r="O275" t="s">
        <v>1101</v>
      </c>
      <c r="P275" t="s">
        <v>1101</v>
      </c>
      <c r="Q275">
        <v>1</v>
      </c>
      <c r="X275">
        <v>1.68</v>
      </c>
      <c r="Y275">
        <v>1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1.68</v>
      </c>
      <c r="AH275">
        <v>2</v>
      </c>
      <c r="AI275">
        <v>39478319</v>
      </c>
      <c r="AJ275">
        <v>291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ROW(Source!A137)</f>
        <v>137</v>
      </c>
      <c r="B276">
        <v>39478321</v>
      </c>
      <c r="C276">
        <v>39478320</v>
      </c>
      <c r="D276">
        <v>37064878</v>
      </c>
      <c r="E276">
        <v>1</v>
      </c>
      <c r="F276">
        <v>1</v>
      </c>
      <c r="G276">
        <v>1</v>
      </c>
      <c r="H276">
        <v>1</v>
      </c>
      <c r="I276" t="s">
        <v>820</v>
      </c>
      <c r="J276" t="s">
        <v>3</v>
      </c>
      <c r="K276" t="s">
        <v>821</v>
      </c>
      <c r="L276">
        <v>1191</v>
      </c>
      <c r="N276">
        <v>1013</v>
      </c>
      <c r="O276" t="s">
        <v>796</v>
      </c>
      <c r="P276" t="s">
        <v>796</v>
      </c>
      <c r="Q276">
        <v>1</v>
      </c>
      <c r="X276">
        <v>16.5</v>
      </c>
      <c r="Y276">
        <v>0</v>
      </c>
      <c r="Z276">
        <v>0</v>
      </c>
      <c r="AA276">
        <v>0</v>
      </c>
      <c r="AB276">
        <v>9.4</v>
      </c>
      <c r="AC276">
        <v>0</v>
      </c>
      <c r="AD276">
        <v>1</v>
      </c>
      <c r="AE276">
        <v>1</v>
      </c>
      <c r="AF276" t="s">
        <v>371</v>
      </c>
      <c r="AG276">
        <v>19.8</v>
      </c>
      <c r="AH276">
        <v>2</v>
      </c>
      <c r="AI276">
        <v>39478321</v>
      </c>
      <c r="AJ276">
        <v>292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ROW(Source!A137)</f>
        <v>137</v>
      </c>
      <c r="B277">
        <v>39478322</v>
      </c>
      <c r="C277">
        <v>39478320</v>
      </c>
      <c r="D277">
        <v>37064876</v>
      </c>
      <c r="E277">
        <v>1</v>
      </c>
      <c r="F277">
        <v>1</v>
      </c>
      <c r="G277">
        <v>1</v>
      </c>
      <c r="H277">
        <v>1</v>
      </c>
      <c r="I277" t="s">
        <v>797</v>
      </c>
      <c r="J277" t="s">
        <v>3</v>
      </c>
      <c r="K277" t="s">
        <v>798</v>
      </c>
      <c r="L277">
        <v>1191</v>
      </c>
      <c r="N277">
        <v>1013</v>
      </c>
      <c r="O277" t="s">
        <v>796</v>
      </c>
      <c r="P277" t="s">
        <v>796</v>
      </c>
      <c r="Q277">
        <v>1</v>
      </c>
      <c r="X277">
        <v>0.04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2</v>
      </c>
      <c r="AF277" t="s">
        <v>371</v>
      </c>
      <c r="AG277">
        <v>4.8000000000000001E-2</v>
      </c>
      <c r="AH277">
        <v>2</v>
      </c>
      <c r="AI277">
        <v>39478322</v>
      </c>
      <c r="AJ277">
        <v>293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ROW(Source!A137)</f>
        <v>137</v>
      </c>
      <c r="B278">
        <v>39478323</v>
      </c>
      <c r="C278">
        <v>39478320</v>
      </c>
      <c r="D278">
        <v>36882159</v>
      </c>
      <c r="E278">
        <v>1</v>
      </c>
      <c r="F278">
        <v>1</v>
      </c>
      <c r="G278">
        <v>1</v>
      </c>
      <c r="H278">
        <v>2</v>
      </c>
      <c r="I278" t="s">
        <v>825</v>
      </c>
      <c r="J278" t="s">
        <v>826</v>
      </c>
      <c r="K278" t="s">
        <v>827</v>
      </c>
      <c r="L278">
        <v>1368</v>
      </c>
      <c r="N278">
        <v>1011</v>
      </c>
      <c r="O278" t="s">
        <v>802</v>
      </c>
      <c r="P278" t="s">
        <v>802</v>
      </c>
      <c r="Q278">
        <v>1</v>
      </c>
      <c r="X278">
        <v>0.02</v>
      </c>
      <c r="Y278">
        <v>0</v>
      </c>
      <c r="Z278">
        <v>111.99</v>
      </c>
      <c r="AA278">
        <v>13.5</v>
      </c>
      <c r="AB278">
        <v>0</v>
      </c>
      <c r="AC278">
        <v>0</v>
      </c>
      <c r="AD278">
        <v>1</v>
      </c>
      <c r="AE278">
        <v>0</v>
      </c>
      <c r="AF278" t="s">
        <v>371</v>
      </c>
      <c r="AG278">
        <v>2.4E-2</v>
      </c>
      <c r="AH278">
        <v>2</v>
      </c>
      <c r="AI278">
        <v>39478323</v>
      </c>
      <c r="AJ278">
        <v>294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ROW(Source!A137)</f>
        <v>137</v>
      </c>
      <c r="B279">
        <v>39478324</v>
      </c>
      <c r="C279">
        <v>39478320</v>
      </c>
      <c r="D279">
        <v>36883554</v>
      </c>
      <c r="E279">
        <v>1</v>
      </c>
      <c r="F279">
        <v>1</v>
      </c>
      <c r="G279">
        <v>1</v>
      </c>
      <c r="H279">
        <v>2</v>
      </c>
      <c r="I279" t="s">
        <v>834</v>
      </c>
      <c r="J279" t="s">
        <v>835</v>
      </c>
      <c r="K279" t="s">
        <v>836</v>
      </c>
      <c r="L279">
        <v>1368</v>
      </c>
      <c r="N279">
        <v>1011</v>
      </c>
      <c r="O279" t="s">
        <v>802</v>
      </c>
      <c r="P279" t="s">
        <v>802</v>
      </c>
      <c r="Q279">
        <v>1</v>
      </c>
      <c r="X279">
        <v>0.02</v>
      </c>
      <c r="Y279">
        <v>0</v>
      </c>
      <c r="Z279">
        <v>65.709999999999994</v>
      </c>
      <c r="AA279">
        <v>11.6</v>
      </c>
      <c r="AB279">
        <v>0</v>
      </c>
      <c r="AC279">
        <v>0</v>
      </c>
      <c r="AD279">
        <v>1</v>
      </c>
      <c r="AE279">
        <v>0</v>
      </c>
      <c r="AF279" t="s">
        <v>371</v>
      </c>
      <c r="AG279">
        <v>2.4E-2</v>
      </c>
      <c r="AH279">
        <v>2</v>
      </c>
      <c r="AI279">
        <v>39478324</v>
      </c>
      <c r="AJ279">
        <v>295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ROW(Source!A137)</f>
        <v>137</v>
      </c>
      <c r="B280">
        <v>39478325</v>
      </c>
      <c r="C280">
        <v>39478320</v>
      </c>
      <c r="D280">
        <v>36806488</v>
      </c>
      <c r="E280">
        <v>1</v>
      </c>
      <c r="F280">
        <v>1</v>
      </c>
      <c r="G280">
        <v>1</v>
      </c>
      <c r="H280">
        <v>3</v>
      </c>
      <c r="I280" t="s">
        <v>931</v>
      </c>
      <c r="J280" t="s">
        <v>932</v>
      </c>
      <c r="K280" t="s">
        <v>933</v>
      </c>
      <c r="L280">
        <v>1348</v>
      </c>
      <c r="N280">
        <v>1009</v>
      </c>
      <c r="O280" t="s">
        <v>34</v>
      </c>
      <c r="P280" t="s">
        <v>34</v>
      </c>
      <c r="Q280">
        <v>1000</v>
      </c>
      <c r="X280">
        <v>0.01</v>
      </c>
      <c r="Y280">
        <v>729.98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0.01</v>
      </c>
      <c r="AH280">
        <v>2</v>
      </c>
      <c r="AI280">
        <v>39478325</v>
      </c>
      <c r="AJ280">
        <v>296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ROW(Source!A137)</f>
        <v>137</v>
      </c>
      <c r="B281">
        <v>39478326</v>
      </c>
      <c r="C281">
        <v>39478320</v>
      </c>
      <c r="D281">
        <v>36838317</v>
      </c>
      <c r="E281">
        <v>1</v>
      </c>
      <c r="F281">
        <v>1</v>
      </c>
      <c r="G281">
        <v>1</v>
      </c>
      <c r="H281">
        <v>3</v>
      </c>
      <c r="I281" t="s">
        <v>1090</v>
      </c>
      <c r="J281" t="s">
        <v>1091</v>
      </c>
      <c r="K281" t="s">
        <v>1092</v>
      </c>
      <c r="L281">
        <v>1346</v>
      </c>
      <c r="N281">
        <v>1009</v>
      </c>
      <c r="O281" t="s">
        <v>217</v>
      </c>
      <c r="P281" t="s">
        <v>217</v>
      </c>
      <c r="Q281">
        <v>1</v>
      </c>
      <c r="X281">
        <v>0.3</v>
      </c>
      <c r="Y281">
        <v>28.6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0.3</v>
      </c>
      <c r="AH281">
        <v>2</v>
      </c>
      <c r="AI281">
        <v>39478326</v>
      </c>
      <c r="AJ281">
        <v>297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ROW(Source!A137)</f>
        <v>137</v>
      </c>
      <c r="B282">
        <v>39478327</v>
      </c>
      <c r="C282">
        <v>39478320</v>
      </c>
      <c r="D282">
        <v>36867793</v>
      </c>
      <c r="E282">
        <v>1</v>
      </c>
      <c r="F282">
        <v>1</v>
      </c>
      <c r="G282">
        <v>1</v>
      </c>
      <c r="H282">
        <v>3</v>
      </c>
      <c r="I282" t="s">
        <v>1108</v>
      </c>
      <c r="J282" t="s">
        <v>1109</v>
      </c>
      <c r="K282" t="s">
        <v>1110</v>
      </c>
      <c r="L282">
        <v>1346</v>
      </c>
      <c r="N282">
        <v>1009</v>
      </c>
      <c r="O282" t="s">
        <v>217</v>
      </c>
      <c r="P282" t="s">
        <v>217</v>
      </c>
      <c r="Q282">
        <v>1</v>
      </c>
      <c r="X282">
        <v>0.53</v>
      </c>
      <c r="Y282">
        <v>41.7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0.53</v>
      </c>
      <c r="AH282">
        <v>2</v>
      </c>
      <c r="AI282">
        <v>39478327</v>
      </c>
      <c r="AJ282">
        <v>299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ROW(Source!A137)</f>
        <v>137</v>
      </c>
      <c r="B283">
        <v>39478328</v>
      </c>
      <c r="C283">
        <v>39478320</v>
      </c>
      <c r="D283">
        <v>36799065</v>
      </c>
      <c r="E283">
        <v>17</v>
      </c>
      <c r="F283">
        <v>1</v>
      </c>
      <c r="G283">
        <v>1</v>
      </c>
      <c r="H283">
        <v>3</v>
      </c>
      <c r="I283" t="s">
        <v>1099</v>
      </c>
      <c r="J283" t="s">
        <v>3</v>
      </c>
      <c r="K283" t="s">
        <v>1100</v>
      </c>
      <c r="L283">
        <v>1374</v>
      </c>
      <c r="N283">
        <v>1013</v>
      </c>
      <c r="O283" t="s">
        <v>1101</v>
      </c>
      <c r="P283" t="s">
        <v>1101</v>
      </c>
      <c r="Q283">
        <v>1</v>
      </c>
      <c r="X283">
        <v>3.1</v>
      </c>
      <c r="Y283">
        <v>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3.1</v>
      </c>
      <c r="AH283">
        <v>2</v>
      </c>
      <c r="AI283">
        <v>39478328</v>
      </c>
      <c r="AJ283">
        <v>300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ROW(Source!A139)</f>
        <v>139</v>
      </c>
      <c r="B284">
        <v>39478332</v>
      </c>
      <c r="C284">
        <v>39478331</v>
      </c>
      <c r="D284">
        <v>37064878</v>
      </c>
      <c r="E284">
        <v>1</v>
      </c>
      <c r="F284">
        <v>1</v>
      </c>
      <c r="G284">
        <v>1</v>
      </c>
      <c r="H284">
        <v>1</v>
      </c>
      <c r="I284" t="s">
        <v>820</v>
      </c>
      <c r="J284" t="s">
        <v>3</v>
      </c>
      <c r="K284" t="s">
        <v>821</v>
      </c>
      <c r="L284">
        <v>1191</v>
      </c>
      <c r="N284">
        <v>1013</v>
      </c>
      <c r="O284" t="s">
        <v>796</v>
      </c>
      <c r="P284" t="s">
        <v>796</v>
      </c>
      <c r="Q284">
        <v>1</v>
      </c>
      <c r="X284">
        <v>3.76</v>
      </c>
      <c r="Y284">
        <v>0</v>
      </c>
      <c r="Z284">
        <v>0</v>
      </c>
      <c r="AA284">
        <v>0</v>
      </c>
      <c r="AB284">
        <v>9.4</v>
      </c>
      <c r="AC284">
        <v>0</v>
      </c>
      <c r="AD284">
        <v>1</v>
      </c>
      <c r="AE284">
        <v>1</v>
      </c>
      <c r="AF284" t="s">
        <v>371</v>
      </c>
      <c r="AG284">
        <v>4.5119999999999996</v>
      </c>
      <c r="AH284">
        <v>2</v>
      </c>
      <c r="AI284">
        <v>39478332</v>
      </c>
      <c r="AJ284">
        <v>301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ROW(Source!A139)</f>
        <v>139</v>
      </c>
      <c r="B285">
        <v>39478333</v>
      </c>
      <c r="C285">
        <v>39478331</v>
      </c>
      <c r="D285">
        <v>37064876</v>
      </c>
      <c r="E285">
        <v>1</v>
      </c>
      <c r="F285">
        <v>1</v>
      </c>
      <c r="G285">
        <v>1</v>
      </c>
      <c r="H285">
        <v>1</v>
      </c>
      <c r="I285" t="s">
        <v>797</v>
      </c>
      <c r="J285" t="s">
        <v>3</v>
      </c>
      <c r="K285" t="s">
        <v>798</v>
      </c>
      <c r="L285">
        <v>1191</v>
      </c>
      <c r="N285">
        <v>1013</v>
      </c>
      <c r="O285" t="s">
        <v>796</v>
      </c>
      <c r="P285" t="s">
        <v>796</v>
      </c>
      <c r="Q285">
        <v>1</v>
      </c>
      <c r="X285">
        <v>0.02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2</v>
      </c>
      <c r="AF285" t="s">
        <v>371</v>
      </c>
      <c r="AG285">
        <v>2.4E-2</v>
      </c>
      <c r="AH285">
        <v>2</v>
      </c>
      <c r="AI285">
        <v>39478333</v>
      </c>
      <c r="AJ285">
        <v>302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ROW(Source!A139)</f>
        <v>139</v>
      </c>
      <c r="B286">
        <v>39478334</v>
      </c>
      <c r="C286">
        <v>39478331</v>
      </c>
      <c r="D286">
        <v>36882159</v>
      </c>
      <c r="E286">
        <v>1</v>
      </c>
      <c r="F286">
        <v>1</v>
      </c>
      <c r="G286">
        <v>1</v>
      </c>
      <c r="H286">
        <v>2</v>
      </c>
      <c r="I286" t="s">
        <v>825</v>
      </c>
      <c r="J286" t="s">
        <v>826</v>
      </c>
      <c r="K286" t="s">
        <v>827</v>
      </c>
      <c r="L286">
        <v>1368</v>
      </c>
      <c r="N286">
        <v>1011</v>
      </c>
      <c r="O286" t="s">
        <v>802</v>
      </c>
      <c r="P286" t="s">
        <v>802</v>
      </c>
      <c r="Q286">
        <v>1</v>
      </c>
      <c r="X286">
        <v>0.01</v>
      </c>
      <c r="Y286">
        <v>0</v>
      </c>
      <c r="Z286">
        <v>111.99</v>
      </c>
      <c r="AA286">
        <v>13.5</v>
      </c>
      <c r="AB286">
        <v>0</v>
      </c>
      <c r="AC286">
        <v>0</v>
      </c>
      <c r="AD286">
        <v>1</v>
      </c>
      <c r="AE286">
        <v>0</v>
      </c>
      <c r="AF286" t="s">
        <v>371</v>
      </c>
      <c r="AG286">
        <v>1.2E-2</v>
      </c>
      <c r="AH286">
        <v>2</v>
      </c>
      <c r="AI286">
        <v>39478334</v>
      </c>
      <c r="AJ286">
        <v>303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ROW(Source!A139)</f>
        <v>139</v>
      </c>
      <c r="B287">
        <v>39478335</v>
      </c>
      <c r="C287">
        <v>39478331</v>
      </c>
      <c r="D287">
        <v>36883554</v>
      </c>
      <c r="E287">
        <v>1</v>
      </c>
      <c r="F287">
        <v>1</v>
      </c>
      <c r="G287">
        <v>1</v>
      </c>
      <c r="H287">
        <v>2</v>
      </c>
      <c r="I287" t="s">
        <v>834</v>
      </c>
      <c r="J287" t="s">
        <v>835</v>
      </c>
      <c r="K287" t="s">
        <v>836</v>
      </c>
      <c r="L287">
        <v>1368</v>
      </c>
      <c r="N287">
        <v>1011</v>
      </c>
      <c r="O287" t="s">
        <v>802</v>
      </c>
      <c r="P287" t="s">
        <v>802</v>
      </c>
      <c r="Q287">
        <v>1</v>
      </c>
      <c r="X287">
        <v>0.01</v>
      </c>
      <c r="Y287">
        <v>0</v>
      </c>
      <c r="Z287">
        <v>65.709999999999994</v>
      </c>
      <c r="AA287">
        <v>11.6</v>
      </c>
      <c r="AB287">
        <v>0</v>
      </c>
      <c r="AC287">
        <v>0</v>
      </c>
      <c r="AD287">
        <v>1</v>
      </c>
      <c r="AE287">
        <v>0</v>
      </c>
      <c r="AF287" t="s">
        <v>371</v>
      </c>
      <c r="AG287">
        <v>1.2E-2</v>
      </c>
      <c r="AH287">
        <v>2</v>
      </c>
      <c r="AI287">
        <v>39478335</v>
      </c>
      <c r="AJ287">
        <v>304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ROW(Source!A139)</f>
        <v>139</v>
      </c>
      <c r="B288">
        <v>39478336</v>
      </c>
      <c r="C288">
        <v>39478331</v>
      </c>
      <c r="D288">
        <v>36802094</v>
      </c>
      <c r="E288">
        <v>1</v>
      </c>
      <c r="F288">
        <v>1</v>
      </c>
      <c r="G288">
        <v>1</v>
      </c>
      <c r="H288">
        <v>3</v>
      </c>
      <c r="I288" t="s">
        <v>1084</v>
      </c>
      <c r="J288" t="s">
        <v>1085</v>
      </c>
      <c r="K288" t="s">
        <v>1086</v>
      </c>
      <c r="L288">
        <v>1346</v>
      </c>
      <c r="N288">
        <v>1009</v>
      </c>
      <c r="O288" t="s">
        <v>217</v>
      </c>
      <c r="P288" t="s">
        <v>217</v>
      </c>
      <c r="Q288">
        <v>1</v>
      </c>
      <c r="X288">
        <v>0.16</v>
      </c>
      <c r="Y288">
        <v>30.4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0.16</v>
      </c>
      <c r="AH288">
        <v>2</v>
      </c>
      <c r="AI288">
        <v>39478336</v>
      </c>
      <c r="AJ288">
        <v>305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ROW(Source!A139)</f>
        <v>139</v>
      </c>
      <c r="B289">
        <v>39478337</v>
      </c>
      <c r="C289">
        <v>39478331</v>
      </c>
      <c r="D289">
        <v>36802106</v>
      </c>
      <c r="E289">
        <v>1</v>
      </c>
      <c r="F289">
        <v>1</v>
      </c>
      <c r="G289">
        <v>1</v>
      </c>
      <c r="H289">
        <v>3</v>
      </c>
      <c r="I289" t="s">
        <v>1111</v>
      </c>
      <c r="J289" t="s">
        <v>1112</v>
      </c>
      <c r="K289" t="s">
        <v>1113</v>
      </c>
      <c r="L289">
        <v>1308</v>
      </c>
      <c r="N289">
        <v>1003</v>
      </c>
      <c r="O289" t="s">
        <v>69</v>
      </c>
      <c r="P289" t="s">
        <v>69</v>
      </c>
      <c r="Q289">
        <v>100</v>
      </c>
      <c r="X289">
        <v>5.5E-2</v>
      </c>
      <c r="Y289">
        <v>120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5.5E-2</v>
      </c>
      <c r="AH289">
        <v>2</v>
      </c>
      <c r="AI289">
        <v>39478337</v>
      </c>
      <c r="AJ289">
        <v>306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ROW(Source!A139)</f>
        <v>139</v>
      </c>
      <c r="B290">
        <v>39478338</v>
      </c>
      <c r="C290">
        <v>39478331</v>
      </c>
      <c r="D290">
        <v>36838317</v>
      </c>
      <c r="E290">
        <v>1</v>
      </c>
      <c r="F290">
        <v>1</v>
      </c>
      <c r="G290">
        <v>1</v>
      </c>
      <c r="H290">
        <v>3</v>
      </c>
      <c r="I290" t="s">
        <v>1090</v>
      </c>
      <c r="J290" t="s">
        <v>1091</v>
      </c>
      <c r="K290" t="s">
        <v>1092</v>
      </c>
      <c r="L290">
        <v>1346</v>
      </c>
      <c r="N290">
        <v>1009</v>
      </c>
      <c r="O290" t="s">
        <v>217</v>
      </c>
      <c r="P290" t="s">
        <v>217</v>
      </c>
      <c r="Q290">
        <v>1</v>
      </c>
      <c r="X290">
        <v>0.05</v>
      </c>
      <c r="Y290">
        <v>28.6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0.05</v>
      </c>
      <c r="AH290">
        <v>2</v>
      </c>
      <c r="AI290">
        <v>39478338</v>
      </c>
      <c r="AJ290">
        <v>307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ROW(Source!A139)</f>
        <v>139</v>
      </c>
      <c r="B291">
        <v>39478339</v>
      </c>
      <c r="C291">
        <v>39478331</v>
      </c>
      <c r="D291">
        <v>36799065</v>
      </c>
      <c r="E291">
        <v>17</v>
      </c>
      <c r="F291">
        <v>1</v>
      </c>
      <c r="G291">
        <v>1</v>
      </c>
      <c r="H291">
        <v>3</v>
      </c>
      <c r="I291" t="s">
        <v>1099</v>
      </c>
      <c r="J291" t="s">
        <v>3</v>
      </c>
      <c r="K291" t="s">
        <v>1100</v>
      </c>
      <c r="L291">
        <v>1374</v>
      </c>
      <c r="N291">
        <v>1013</v>
      </c>
      <c r="O291" t="s">
        <v>1101</v>
      </c>
      <c r="P291" t="s">
        <v>1101</v>
      </c>
      <c r="Q291">
        <v>1</v>
      </c>
      <c r="X291">
        <v>0.71</v>
      </c>
      <c r="Y291">
        <v>1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0.71</v>
      </c>
      <c r="AH291">
        <v>2</v>
      </c>
      <c r="AI291">
        <v>39478339</v>
      </c>
      <c r="AJ291">
        <v>309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ROW(Source!A141)</f>
        <v>141</v>
      </c>
      <c r="B292">
        <v>39487149</v>
      </c>
      <c r="C292">
        <v>39487148</v>
      </c>
      <c r="D292">
        <v>37082223</v>
      </c>
      <c r="E292">
        <v>1</v>
      </c>
      <c r="F292">
        <v>1</v>
      </c>
      <c r="G292">
        <v>1</v>
      </c>
      <c r="H292">
        <v>1</v>
      </c>
      <c r="I292" t="s">
        <v>1114</v>
      </c>
      <c r="J292" t="s">
        <v>3</v>
      </c>
      <c r="K292" t="s">
        <v>1115</v>
      </c>
      <c r="L292">
        <v>1191</v>
      </c>
      <c r="N292">
        <v>1013</v>
      </c>
      <c r="O292" t="s">
        <v>796</v>
      </c>
      <c r="P292" t="s">
        <v>796</v>
      </c>
      <c r="Q292">
        <v>1</v>
      </c>
      <c r="X292">
        <v>0.5</v>
      </c>
      <c r="Y292">
        <v>0</v>
      </c>
      <c r="Z292">
        <v>0</v>
      </c>
      <c r="AA292">
        <v>0</v>
      </c>
      <c r="AB292">
        <v>9.76</v>
      </c>
      <c r="AC292">
        <v>0</v>
      </c>
      <c r="AD292">
        <v>1</v>
      </c>
      <c r="AE292">
        <v>1</v>
      </c>
      <c r="AF292" t="s">
        <v>3</v>
      </c>
      <c r="AG292">
        <v>0.5</v>
      </c>
      <c r="AH292">
        <v>2</v>
      </c>
      <c r="AI292">
        <v>39487149</v>
      </c>
      <c r="AJ292">
        <v>310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ROW(Source!A141)</f>
        <v>141</v>
      </c>
      <c r="B293">
        <v>39487150</v>
      </c>
      <c r="C293">
        <v>39487148</v>
      </c>
      <c r="D293">
        <v>36804944</v>
      </c>
      <c r="E293">
        <v>1</v>
      </c>
      <c r="F293">
        <v>1</v>
      </c>
      <c r="G293">
        <v>1</v>
      </c>
      <c r="H293">
        <v>3</v>
      </c>
      <c r="I293" t="s">
        <v>1116</v>
      </c>
      <c r="J293" t="s">
        <v>1117</v>
      </c>
      <c r="K293" t="s">
        <v>1118</v>
      </c>
      <c r="L293">
        <v>1348</v>
      </c>
      <c r="N293">
        <v>1009</v>
      </c>
      <c r="O293" t="s">
        <v>34</v>
      </c>
      <c r="P293" t="s">
        <v>34</v>
      </c>
      <c r="Q293">
        <v>1000</v>
      </c>
      <c r="X293">
        <v>1.0000000000000001E-5</v>
      </c>
      <c r="Y293">
        <v>12430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1.0000000000000001E-5</v>
      </c>
      <c r="AH293">
        <v>2</v>
      </c>
      <c r="AI293">
        <v>39487150</v>
      </c>
      <c r="AJ293">
        <v>311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ROW(Source!A141)</f>
        <v>141</v>
      </c>
      <c r="B294">
        <v>39487151</v>
      </c>
      <c r="C294">
        <v>39487148</v>
      </c>
      <c r="D294">
        <v>36806488</v>
      </c>
      <c r="E294">
        <v>1</v>
      </c>
      <c r="F294">
        <v>1</v>
      </c>
      <c r="G294">
        <v>1</v>
      </c>
      <c r="H294">
        <v>3</v>
      </c>
      <c r="I294" t="s">
        <v>931</v>
      </c>
      <c r="J294" t="s">
        <v>932</v>
      </c>
      <c r="K294" t="s">
        <v>933</v>
      </c>
      <c r="L294">
        <v>1348</v>
      </c>
      <c r="N294">
        <v>1009</v>
      </c>
      <c r="O294" t="s">
        <v>34</v>
      </c>
      <c r="P294" t="s">
        <v>34</v>
      </c>
      <c r="Q294">
        <v>1000</v>
      </c>
      <c r="X294">
        <v>5.0000000000000002E-5</v>
      </c>
      <c r="Y294">
        <v>729.98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5.0000000000000002E-5</v>
      </c>
      <c r="AH294">
        <v>2</v>
      </c>
      <c r="AI294">
        <v>39487151</v>
      </c>
      <c r="AJ294">
        <v>312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ROW(Source!A141)</f>
        <v>141</v>
      </c>
      <c r="B295">
        <v>39487152</v>
      </c>
      <c r="C295">
        <v>39487148</v>
      </c>
      <c r="D295">
        <v>36825637</v>
      </c>
      <c r="E295">
        <v>1</v>
      </c>
      <c r="F295">
        <v>1</v>
      </c>
      <c r="G295">
        <v>1</v>
      </c>
      <c r="H295">
        <v>3</v>
      </c>
      <c r="I295" t="s">
        <v>1119</v>
      </c>
      <c r="J295" t="s">
        <v>1120</v>
      </c>
      <c r="K295" t="s">
        <v>1121</v>
      </c>
      <c r="L295">
        <v>1348</v>
      </c>
      <c r="N295">
        <v>1009</v>
      </c>
      <c r="O295" t="s">
        <v>34</v>
      </c>
      <c r="P295" t="s">
        <v>34</v>
      </c>
      <c r="Q295">
        <v>1000</v>
      </c>
      <c r="X295">
        <v>1.0000000000000001E-5</v>
      </c>
      <c r="Y295">
        <v>14690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1.0000000000000001E-5</v>
      </c>
      <c r="AH295">
        <v>2</v>
      </c>
      <c r="AI295">
        <v>39487152</v>
      </c>
      <c r="AJ295">
        <v>313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ROW(Source!A141)</f>
        <v>141</v>
      </c>
      <c r="B296">
        <v>39487153</v>
      </c>
      <c r="C296">
        <v>39487148</v>
      </c>
      <c r="D296">
        <v>36799065</v>
      </c>
      <c r="E296">
        <v>17</v>
      </c>
      <c r="F296">
        <v>1</v>
      </c>
      <c r="G296">
        <v>1</v>
      </c>
      <c r="H296">
        <v>3</v>
      </c>
      <c r="I296" t="s">
        <v>1099</v>
      </c>
      <c r="J296" t="s">
        <v>3</v>
      </c>
      <c r="K296" t="s">
        <v>1100</v>
      </c>
      <c r="L296">
        <v>1374</v>
      </c>
      <c r="N296">
        <v>1013</v>
      </c>
      <c r="O296" t="s">
        <v>1101</v>
      </c>
      <c r="P296" t="s">
        <v>1101</v>
      </c>
      <c r="Q296">
        <v>1</v>
      </c>
      <c r="X296">
        <v>0.1</v>
      </c>
      <c r="Y296">
        <v>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0.1</v>
      </c>
      <c r="AH296">
        <v>2</v>
      </c>
      <c r="AI296">
        <v>39487153</v>
      </c>
      <c r="AJ296">
        <v>315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ROW(Source!A143)</f>
        <v>143</v>
      </c>
      <c r="B297">
        <v>39478391</v>
      </c>
      <c r="C297">
        <v>39478382</v>
      </c>
      <c r="D297">
        <v>37077359</v>
      </c>
      <c r="E297">
        <v>1</v>
      </c>
      <c r="F297">
        <v>1</v>
      </c>
      <c r="G297">
        <v>1</v>
      </c>
      <c r="H297">
        <v>1</v>
      </c>
      <c r="I297" t="s">
        <v>1122</v>
      </c>
      <c r="J297" t="s">
        <v>3</v>
      </c>
      <c r="K297" t="s">
        <v>1123</v>
      </c>
      <c r="L297">
        <v>1191</v>
      </c>
      <c r="N297">
        <v>1013</v>
      </c>
      <c r="O297" t="s">
        <v>796</v>
      </c>
      <c r="P297" t="s">
        <v>796</v>
      </c>
      <c r="Q297">
        <v>1</v>
      </c>
      <c r="X297">
        <v>0.9</v>
      </c>
      <c r="Y297">
        <v>0</v>
      </c>
      <c r="Z297">
        <v>0</v>
      </c>
      <c r="AA297">
        <v>0</v>
      </c>
      <c r="AB297">
        <v>10.5</v>
      </c>
      <c r="AC297">
        <v>0</v>
      </c>
      <c r="AD297">
        <v>1</v>
      </c>
      <c r="AE297">
        <v>1</v>
      </c>
      <c r="AF297" t="s">
        <v>371</v>
      </c>
      <c r="AG297">
        <v>1.08</v>
      </c>
      <c r="AH297">
        <v>2</v>
      </c>
      <c r="AI297">
        <v>39478383</v>
      </c>
      <c r="AJ297">
        <v>316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ROW(Source!A143)</f>
        <v>143</v>
      </c>
      <c r="B298">
        <v>39478392</v>
      </c>
      <c r="C298">
        <v>39478382</v>
      </c>
      <c r="D298">
        <v>37064876</v>
      </c>
      <c r="E298">
        <v>1</v>
      </c>
      <c r="F298">
        <v>1</v>
      </c>
      <c r="G298">
        <v>1</v>
      </c>
      <c r="H298">
        <v>1</v>
      </c>
      <c r="I298" t="s">
        <v>797</v>
      </c>
      <c r="J298" t="s">
        <v>3</v>
      </c>
      <c r="K298" t="s">
        <v>798</v>
      </c>
      <c r="L298">
        <v>1191</v>
      </c>
      <c r="N298">
        <v>1013</v>
      </c>
      <c r="O298" t="s">
        <v>796</v>
      </c>
      <c r="P298" t="s">
        <v>796</v>
      </c>
      <c r="Q298">
        <v>1</v>
      </c>
      <c r="X298">
        <v>0.2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371</v>
      </c>
      <c r="AG298">
        <v>0.24</v>
      </c>
      <c r="AH298">
        <v>2</v>
      </c>
      <c r="AI298">
        <v>39478384</v>
      </c>
      <c r="AJ298">
        <v>317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ROW(Source!A143)</f>
        <v>143</v>
      </c>
      <c r="B299">
        <v>39478393</v>
      </c>
      <c r="C299">
        <v>39478382</v>
      </c>
      <c r="D299">
        <v>36882159</v>
      </c>
      <c r="E299">
        <v>1</v>
      </c>
      <c r="F299">
        <v>1</v>
      </c>
      <c r="G299">
        <v>1</v>
      </c>
      <c r="H299">
        <v>2</v>
      </c>
      <c r="I299" t="s">
        <v>825</v>
      </c>
      <c r="J299" t="s">
        <v>826</v>
      </c>
      <c r="K299" t="s">
        <v>827</v>
      </c>
      <c r="L299">
        <v>1368</v>
      </c>
      <c r="N299">
        <v>1011</v>
      </c>
      <c r="O299" t="s">
        <v>802</v>
      </c>
      <c r="P299" t="s">
        <v>802</v>
      </c>
      <c r="Q299">
        <v>1</v>
      </c>
      <c r="X299">
        <v>0.1</v>
      </c>
      <c r="Y299">
        <v>0</v>
      </c>
      <c r="Z299">
        <v>111.99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371</v>
      </c>
      <c r="AG299">
        <v>0.12</v>
      </c>
      <c r="AH299">
        <v>2</v>
      </c>
      <c r="AI299">
        <v>39478385</v>
      </c>
      <c r="AJ299">
        <v>318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ROW(Source!A143)</f>
        <v>143</v>
      </c>
      <c r="B300">
        <v>39478394</v>
      </c>
      <c r="C300">
        <v>39478382</v>
      </c>
      <c r="D300">
        <v>36883554</v>
      </c>
      <c r="E300">
        <v>1</v>
      </c>
      <c r="F300">
        <v>1</v>
      </c>
      <c r="G300">
        <v>1</v>
      </c>
      <c r="H300">
        <v>2</v>
      </c>
      <c r="I300" t="s">
        <v>834</v>
      </c>
      <c r="J300" t="s">
        <v>835</v>
      </c>
      <c r="K300" t="s">
        <v>836</v>
      </c>
      <c r="L300">
        <v>1368</v>
      </c>
      <c r="N300">
        <v>1011</v>
      </c>
      <c r="O300" t="s">
        <v>802</v>
      </c>
      <c r="P300" t="s">
        <v>802</v>
      </c>
      <c r="Q300">
        <v>1</v>
      </c>
      <c r="X300">
        <v>0.1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371</v>
      </c>
      <c r="AG300">
        <v>0.12</v>
      </c>
      <c r="AH300">
        <v>2</v>
      </c>
      <c r="AI300">
        <v>39478386</v>
      </c>
      <c r="AJ300">
        <v>319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ROW(Source!A143)</f>
        <v>143</v>
      </c>
      <c r="B301">
        <v>39478395</v>
      </c>
      <c r="C301">
        <v>39478382</v>
      </c>
      <c r="D301">
        <v>36802094</v>
      </c>
      <c r="E301">
        <v>1</v>
      </c>
      <c r="F301">
        <v>1</v>
      </c>
      <c r="G301">
        <v>1</v>
      </c>
      <c r="H301">
        <v>3</v>
      </c>
      <c r="I301" t="s">
        <v>1084</v>
      </c>
      <c r="J301" t="s">
        <v>1085</v>
      </c>
      <c r="K301" t="s">
        <v>1086</v>
      </c>
      <c r="L301">
        <v>1346</v>
      </c>
      <c r="N301">
        <v>1009</v>
      </c>
      <c r="O301" t="s">
        <v>217</v>
      </c>
      <c r="P301" t="s">
        <v>217</v>
      </c>
      <c r="Q301">
        <v>1</v>
      </c>
      <c r="X301">
        <v>0.01</v>
      </c>
      <c r="Y301">
        <v>30.4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0.01</v>
      </c>
      <c r="AH301">
        <v>2</v>
      </c>
      <c r="AI301">
        <v>39478387</v>
      </c>
      <c r="AJ301">
        <v>320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ROW(Source!A143)</f>
        <v>143</v>
      </c>
      <c r="B302">
        <v>39478396</v>
      </c>
      <c r="C302">
        <v>39478382</v>
      </c>
      <c r="D302">
        <v>36804448</v>
      </c>
      <c r="E302">
        <v>1</v>
      </c>
      <c r="F302">
        <v>1</v>
      </c>
      <c r="G302">
        <v>1</v>
      </c>
      <c r="H302">
        <v>3</v>
      </c>
      <c r="I302" t="s">
        <v>1124</v>
      </c>
      <c r="J302" t="s">
        <v>1125</v>
      </c>
      <c r="K302" t="s">
        <v>1083</v>
      </c>
      <c r="L302">
        <v>1346</v>
      </c>
      <c r="N302">
        <v>1009</v>
      </c>
      <c r="O302" t="s">
        <v>217</v>
      </c>
      <c r="P302" t="s">
        <v>217</v>
      </c>
      <c r="Q302">
        <v>1</v>
      </c>
      <c r="X302">
        <v>0.3</v>
      </c>
      <c r="Y302">
        <v>9.0399999999999991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0.3</v>
      </c>
      <c r="AH302">
        <v>2</v>
      </c>
      <c r="AI302">
        <v>39478388</v>
      </c>
      <c r="AJ302">
        <v>321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ROW(Source!A143)</f>
        <v>143</v>
      </c>
      <c r="B303">
        <v>39478397</v>
      </c>
      <c r="C303">
        <v>39478382</v>
      </c>
      <c r="D303">
        <v>36825981</v>
      </c>
      <c r="E303">
        <v>1</v>
      </c>
      <c r="F303">
        <v>1</v>
      </c>
      <c r="G303">
        <v>1</v>
      </c>
      <c r="H303">
        <v>3</v>
      </c>
      <c r="I303" t="s">
        <v>1126</v>
      </c>
      <c r="J303" t="s">
        <v>1127</v>
      </c>
      <c r="K303" t="s">
        <v>1128</v>
      </c>
      <c r="L303">
        <v>1348</v>
      </c>
      <c r="N303">
        <v>1009</v>
      </c>
      <c r="O303" t="s">
        <v>34</v>
      </c>
      <c r="P303" t="s">
        <v>34</v>
      </c>
      <c r="Q303">
        <v>1000</v>
      </c>
      <c r="X303">
        <v>5.9999999999999995E-4</v>
      </c>
      <c r="Y303">
        <v>5000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5.9999999999999995E-4</v>
      </c>
      <c r="AH303">
        <v>2</v>
      </c>
      <c r="AI303">
        <v>39478389</v>
      </c>
      <c r="AJ303">
        <v>322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ROW(Source!A143)</f>
        <v>143</v>
      </c>
      <c r="B304">
        <v>39478398</v>
      </c>
      <c r="C304">
        <v>39478382</v>
      </c>
      <c r="D304">
        <v>36799065</v>
      </c>
      <c r="E304">
        <v>17</v>
      </c>
      <c r="F304">
        <v>1</v>
      </c>
      <c r="G304">
        <v>1</v>
      </c>
      <c r="H304">
        <v>3</v>
      </c>
      <c r="I304" t="s">
        <v>1099</v>
      </c>
      <c r="J304" t="s">
        <v>3</v>
      </c>
      <c r="K304" t="s">
        <v>1100</v>
      </c>
      <c r="L304">
        <v>1374</v>
      </c>
      <c r="N304">
        <v>1013</v>
      </c>
      <c r="O304" t="s">
        <v>1101</v>
      </c>
      <c r="P304" t="s">
        <v>1101</v>
      </c>
      <c r="Q304">
        <v>1</v>
      </c>
      <c r="X304">
        <v>0.19</v>
      </c>
      <c r="Y304">
        <v>1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0.19</v>
      </c>
      <c r="AH304">
        <v>2</v>
      </c>
      <c r="AI304">
        <v>39478390</v>
      </c>
      <c r="AJ304">
        <v>325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ROW(Source!A146)</f>
        <v>146</v>
      </c>
      <c r="B305">
        <v>39478406</v>
      </c>
      <c r="C305">
        <v>39478405</v>
      </c>
      <c r="D305">
        <v>37080781</v>
      </c>
      <c r="E305">
        <v>1</v>
      </c>
      <c r="F305">
        <v>1</v>
      </c>
      <c r="G305">
        <v>1</v>
      </c>
      <c r="H305">
        <v>1</v>
      </c>
      <c r="I305" t="s">
        <v>1129</v>
      </c>
      <c r="J305" t="s">
        <v>3</v>
      </c>
      <c r="K305" t="s">
        <v>1130</v>
      </c>
      <c r="L305">
        <v>1191</v>
      </c>
      <c r="N305">
        <v>1013</v>
      </c>
      <c r="O305" t="s">
        <v>796</v>
      </c>
      <c r="P305" t="s">
        <v>796</v>
      </c>
      <c r="Q305">
        <v>1</v>
      </c>
      <c r="X305">
        <v>34.56</v>
      </c>
      <c r="Y305">
        <v>0</v>
      </c>
      <c r="Z305">
        <v>0</v>
      </c>
      <c r="AA305">
        <v>0</v>
      </c>
      <c r="AB305">
        <v>9.92</v>
      </c>
      <c r="AC305">
        <v>0</v>
      </c>
      <c r="AD305">
        <v>1</v>
      </c>
      <c r="AE305">
        <v>1</v>
      </c>
      <c r="AF305" t="s">
        <v>371</v>
      </c>
      <c r="AG305">
        <v>41.472000000000001</v>
      </c>
      <c r="AH305">
        <v>2</v>
      </c>
      <c r="AI305">
        <v>39478406</v>
      </c>
      <c r="AJ305">
        <v>326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ROW(Source!A146)</f>
        <v>146</v>
      </c>
      <c r="B306">
        <v>39478407</v>
      </c>
      <c r="C306">
        <v>39478405</v>
      </c>
      <c r="D306">
        <v>37064876</v>
      </c>
      <c r="E306">
        <v>1</v>
      </c>
      <c r="F306">
        <v>1</v>
      </c>
      <c r="G306">
        <v>1</v>
      </c>
      <c r="H306">
        <v>1</v>
      </c>
      <c r="I306" t="s">
        <v>797</v>
      </c>
      <c r="J306" t="s">
        <v>3</v>
      </c>
      <c r="K306" t="s">
        <v>798</v>
      </c>
      <c r="L306">
        <v>1191</v>
      </c>
      <c r="N306">
        <v>1013</v>
      </c>
      <c r="O306" t="s">
        <v>796</v>
      </c>
      <c r="P306" t="s">
        <v>796</v>
      </c>
      <c r="Q306">
        <v>1</v>
      </c>
      <c r="X306">
        <v>0.05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2</v>
      </c>
      <c r="AF306" t="s">
        <v>371</v>
      </c>
      <c r="AG306">
        <v>0.06</v>
      </c>
      <c r="AH306">
        <v>2</v>
      </c>
      <c r="AI306">
        <v>39478407</v>
      </c>
      <c r="AJ306">
        <v>327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ROW(Source!A146)</f>
        <v>146</v>
      </c>
      <c r="B307">
        <v>39478408</v>
      </c>
      <c r="C307">
        <v>39478405</v>
      </c>
      <c r="D307">
        <v>36882159</v>
      </c>
      <c r="E307">
        <v>1</v>
      </c>
      <c r="F307">
        <v>1</v>
      </c>
      <c r="G307">
        <v>1</v>
      </c>
      <c r="H307">
        <v>2</v>
      </c>
      <c r="I307" t="s">
        <v>825</v>
      </c>
      <c r="J307" t="s">
        <v>826</v>
      </c>
      <c r="K307" t="s">
        <v>827</v>
      </c>
      <c r="L307">
        <v>1368</v>
      </c>
      <c r="N307">
        <v>1011</v>
      </c>
      <c r="O307" t="s">
        <v>802</v>
      </c>
      <c r="P307" t="s">
        <v>802</v>
      </c>
      <c r="Q307">
        <v>1</v>
      </c>
      <c r="X307">
        <v>0.03</v>
      </c>
      <c r="Y307">
        <v>0</v>
      </c>
      <c r="Z307">
        <v>111.99</v>
      </c>
      <c r="AA307">
        <v>13.5</v>
      </c>
      <c r="AB307">
        <v>0</v>
      </c>
      <c r="AC307">
        <v>0</v>
      </c>
      <c r="AD307">
        <v>1</v>
      </c>
      <c r="AE307">
        <v>0</v>
      </c>
      <c r="AF307" t="s">
        <v>371</v>
      </c>
      <c r="AG307">
        <v>3.5999999999999997E-2</v>
      </c>
      <c r="AH307">
        <v>2</v>
      </c>
      <c r="AI307">
        <v>39478408</v>
      </c>
      <c r="AJ307">
        <v>328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ROW(Source!A146)</f>
        <v>146</v>
      </c>
      <c r="B308">
        <v>39478409</v>
      </c>
      <c r="C308">
        <v>39478405</v>
      </c>
      <c r="D308">
        <v>36883554</v>
      </c>
      <c r="E308">
        <v>1</v>
      </c>
      <c r="F308">
        <v>1</v>
      </c>
      <c r="G308">
        <v>1</v>
      </c>
      <c r="H308">
        <v>2</v>
      </c>
      <c r="I308" t="s">
        <v>834</v>
      </c>
      <c r="J308" t="s">
        <v>835</v>
      </c>
      <c r="K308" t="s">
        <v>836</v>
      </c>
      <c r="L308">
        <v>1368</v>
      </c>
      <c r="N308">
        <v>1011</v>
      </c>
      <c r="O308" t="s">
        <v>802</v>
      </c>
      <c r="P308" t="s">
        <v>802</v>
      </c>
      <c r="Q308">
        <v>1</v>
      </c>
      <c r="X308">
        <v>0.02</v>
      </c>
      <c r="Y308">
        <v>0</v>
      </c>
      <c r="Z308">
        <v>65.709999999999994</v>
      </c>
      <c r="AA308">
        <v>11.6</v>
      </c>
      <c r="AB308">
        <v>0</v>
      </c>
      <c r="AC308">
        <v>0</v>
      </c>
      <c r="AD308">
        <v>1</v>
      </c>
      <c r="AE308">
        <v>0</v>
      </c>
      <c r="AF308" t="s">
        <v>371</v>
      </c>
      <c r="AG308">
        <v>2.4E-2</v>
      </c>
      <c r="AH308">
        <v>2</v>
      </c>
      <c r="AI308">
        <v>39478409</v>
      </c>
      <c r="AJ308">
        <v>329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ROW(Source!A146)</f>
        <v>146</v>
      </c>
      <c r="B309">
        <v>39478410</v>
      </c>
      <c r="C309">
        <v>39478405</v>
      </c>
      <c r="D309">
        <v>36802094</v>
      </c>
      <c r="E309">
        <v>1</v>
      </c>
      <c r="F309">
        <v>1</v>
      </c>
      <c r="G309">
        <v>1</v>
      </c>
      <c r="H309">
        <v>3</v>
      </c>
      <c r="I309" t="s">
        <v>1084</v>
      </c>
      <c r="J309" t="s">
        <v>1085</v>
      </c>
      <c r="K309" t="s">
        <v>1086</v>
      </c>
      <c r="L309">
        <v>1346</v>
      </c>
      <c r="N309">
        <v>1009</v>
      </c>
      <c r="O309" t="s">
        <v>217</v>
      </c>
      <c r="P309" t="s">
        <v>217</v>
      </c>
      <c r="Q309">
        <v>1</v>
      </c>
      <c r="X309">
        <v>0.11</v>
      </c>
      <c r="Y309">
        <v>30.4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0.11</v>
      </c>
      <c r="AH309">
        <v>2</v>
      </c>
      <c r="AI309">
        <v>39478410</v>
      </c>
      <c r="AJ309">
        <v>330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ROW(Source!A146)</f>
        <v>146</v>
      </c>
      <c r="B310">
        <v>39478411</v>
      </c>
      <c r="C310">
        <v>39478405</v>
      </c>
      <c r="D310">
        <v>36804580</v>
      </c>
      <c r="E310">
        <v>1</v>
      </c>
      <c r="F310">
        <v>1</v>
      </c>
      <c r="G310">
        <v>1</v>
      </c>
      <c r="H310">
        <v>3</v>
      </c>
      <c r="I310" t="s">
        <v>1131</v>
      </c>
      <c r="J310" t="s">
        <v>1132</v>
      </c>
      <c r="K310" t="s">
        <v>1133</v>
      </c>
      <c r="L310">
        <v>1355</v>
      </c>
      <c r="N310">
        <v>1010</v>
      </c>
      <c r="O310" t="s">
        <v>429</v>
      </c>
      <c r="P310" t="s">
        <v>429</v>
      </c>
      <c r="Q310">
        <v>100</v>
      </c>
      <c r="X310">
        <v>1.02</v>
      </c>
      <c r="Y310">
        <v>86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1.02</v>
      </c>
      <c r="AH310">
        <v>2</v>
      </c>
      <c r="AI310">
        <v>39478411</v>
      </c>
      <c r="AJ310">
        <v>331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ROW(Source!A146)</f>
        <v>146</v>
      </c>
      <c r="B311">
        <v>39478412</v>
      </c>
      <c r="C311">
        <v>39478405</v>
      </c>
      <c r="D311">
        <v>36804940</v>
      </c>
      <c r="E311">
        <v>1</v>
      </c>
      <c r="F311">
        <v>1</v>
      </c>
      <c r="G311">
        <v>1</v>
      </c>
      <c r="H311">
        <v>3</v>
      </c>
      <c r="I311" t="s">
        <v>1134</v>
      </c>
      <c r="J311" t="s">
        <v>1135</v>
      </c>
      <c r="K311" t="s">
        <v>1136</v>
      </c>
      <c r="L311">
        <v>1348</v>
      </c>
      <c r="N311">
        <v>1009</v>
      </c>
      <c r="O311" t="s">
        <v>34</v>
      </c>
      <c r="P311" t="s">
        <v>34</v>
      </c>
      <c r="Q311">
        <v>1000</v>
      </c>
      <c r="X311">
        <v>1.6000000000000001E-4</v>
      </c>
      <c r="Y311">
        <v>29800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1.6000000000000001E-4</v>
      </c>
      <c r="AH311">
        <v>2</v>
      </c>
      <c r="AI311">
        <v>39478412</v>
      </c>
      <c r="AJ311">
        <v>332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ROW(Source!A146)</f>
        <v>146</v>
      </c>
      <c r="B312">
        <v>39478413</v>
      </c>
      <c r="C312">
        <v>39478405</v>
      </c>
      <c r="D312">
        <v>36804944</v>
      </c>
      <c r="E312">
        <v>1</v>
      </c>
      <c r="F312">
        <v>1</v>
      </c>
      <c r="G312">
        <v>1</v>
      </c>
      <c r="H312">
        <v>3</v>
      </c>
      <c r="I312" t="s">
        <v>1116</v>
      </c>
      <c r="J312" t="s">
        <v>1117</v>
      </c>
      <c r="K312" t="s">
        <v>1118</v>
      </c>
      <c r="L312">
        <v>1348</v>
      </c>
      <c r="N312">
        <v>1009</v>
      </c>
      <c r="O312" t="s">
        <v>34</v>
      </c>
      <c r="P312" t="s">
        <v>34</v>
      </c>
      <c r="Q312">
        <v>1000</v>
      </c>
      <c r="X312">
        <v>2.9999999999999997E-4</v>
      </c>
      <c r="Y312">
        <v>12430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2.9999999999999997E-4</v>
      </c>
      <c r="AH312">
        <v>2</v>
      </c>
      <c r="AI312">
        <v>39478413</v>
      </c>
      <c r="AJ312">
        <v>333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ROW(Source!A146)</f>
        <v>146</v>
      </c>
      <c r="B313">
        <v>39478414</v>
      </c>
      <c r="C313">
        <v>39478405</v>
      </c>
      <c r="D313">
        <v>36799065</v>
      </c>
      <c r="E313">
        <v>17</v>
      </c>
      <c r="F313">
        <v>1</v>
      </c>
      <c r="G313">
        <v>1</v>
      </c>
      <c r="H313">
        <v>3</v>
      </c>
      <c r="I313" t="s">
        <v>1099</v>
      </c>
      <c r="J313" t="s">
        <v>3</v>
      </c>
      <c r="K313" t="s">
        <v>1100</v>
      </c>
      <c r="L313">
        <v>1374</v>
      </c>
      <c r="N313">
        <v>1013</v>
      </c>
      <c r="O313" t="s">
        <v>1101</v>
      </c>
      <c r="P313" t="s">
        <v>1101</v>
      </c>
      <c r="Q313">
        <v>1</v>
      </c>
      <c r="X313">
        <v>6.86</v>
      </c>
      <c r="Y313">
        <v>1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6.86</v>
      </c>
      <c r="AH313">
        <v>2</v>
      </c>
      <c r="AI313">
        <v>39478414</v>
      </c>
      <c r="AJ313">
        <v>335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ROW(Source!A148)</f>
        <v>148</v>
      </c>
      <c r="B314">
        <v>39478419</v>
      </c>
      <c r="C314">
        <v>39478418</v>
      </c>
      <c r="D314">
        <v>37070202</v>
      </c>
      <c r="E314">
        <v>1</v>
      </c>
      <c r="F314">
        <v>1</v>
      </c>
      <c r="G314">
        <v>1</v>
      </c>
      <c r="H314">
        <v>1</v>
      </c>
      <c r="I314" t="s">
        <v>1137</v>
      </c>
      <c r="J314" t="s">
        <v>3</v>
      </c>
      <c r="K314" t="s">
        <v>1138</v>
      </c>
      <c r="L314">
        <v>1191</v>
      </c>
      <c r="N314">
        <v>1013</v>
      </c>
      <c r="O314" t="s">
        <v>796</v>
      </c>
      <c r="P314" t="s">
        <v>796</v>
      </c>
      <c r="Q314">
        <v>1</v>
      </c>
      <c r="X314">
        <v>1.56</v>
      </c>
      <c r="Y314">
        <v>0</v>
      </c>
      <c r="Z314">
        <v>0</v>
      </c>
      <c r="AA314">
        <v>0</v>
      </c>
      <c r="AB314">
        <v>9.51</v>
      </c>
      <c r="AC314">
        <v>0</v>
      </c>
      <c r="AD314">
        <v>1</v>
      </c>
      <c r="AE314">
        <v>1</v>
      </c>
      <c r="AF314" t="s">
        <v>371</v>
      </c>
      <c r="AG314">
        <v>1.8719999999999999</v>
      </c>
      <c r="AH314">
        <v>2</v>
      </c>
      <c r="AI314">
        <v>39478419</v>
      </c>
      <c r="AJ314">
        <v>336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ROW(Source!A148)</f>
        <v>148</v>
      </c>
      <c r="B315">
        <v>39478420</v>
      </c>
      <c r="C315">
        <v>39478418</v>
      </c>
      <c r="D315">
        <v>36883858</v>
      </c>
      <c r="E315">
        <v>1</v>
      </c>
      <c r="F315">
        <v>1</v>
      </c>
      <c r="G315">
        <v>1</v>
      </c>
      <c r="H315">
        <v>2</v>
      </c>
      <c r="I315" t="s">
        <v>1139</v>
      </c>
      <c r="J315" t="s">
        <v>1140</v>
      </c>
      <c r="K315" t="s">
        <v>1141</v>
      </c>
      <c r="L315">
        <v>1368</v>
      </c>
      <c r="N315">
        <v>1011</v>
      </c>
      <c r="O315" t="s">
        <v>802</v>
      </c>
      <c r="P315" t="s">
        <v>802</v>
      </c>
      <c r="Q315">
        <v>1</v>
      </c>
      <c r="X315">
        <v>0.13</v>
      </c>
      <c r="Y315">
        <v>0</v>
      </c>
      <c r="Z315">
        <v>8.1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371</v>
      </c>
      <c r="AG315">
        <v>0.156</v>
      </c>
      <c r="AH315">
        <v>2</v>
      </c>
      <c r="AI315">
        <v>39478420</v>
      </c>
      <c r="AJ315">
        <v>337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ROW(Source!A148)</f>
        <v>148</v>
      </c>
      <c r="B316">
        <v>39478421</v>
      </c>
      <c r="C316">
        <v>39478418</v>
      </c>
      <c r="D316">
        <v>36800043</v>
      </c>
      <c r="E316">
        <v>1</v>
      </c>
      <c r="F316">
        <v>1</v>
      </c>
      <c r="G316">
        <v>1</v>
      </c>
      <c r="H316">
        <v>3</v>
      </c>
      <c r="I316" t="s">
        <v>1142</v>
      </c>
      <c r="J316" t="s">
        <v>1143</v>
      </c>
      <c r="K316" t="s">
        <v>1144</v>
      </c>
      <c r="L316">
        <v>1346</v>
      </c>
      <c r="N316">
        <v>1009</v>
      </c>
      <c r="O316" t="s">
        <v>217</v>
      </c>
      <c r="P316" t="s">
        <v>217</v>
      </c>
      <c r="Q316">
        <v>1</v>
      </c>
      <c r="X316">
        <v>6.0000000000000001E-3</v>
      </c>
      <c r="Y316">
        <v>44.97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6.0000000000000001E-3</v>
      </c>
      <c r="AH316">
        <v>2</v>
      </c>
      <c r="AI316">
        <v>39478421</v>
      </c>
      <c r="AJ316">
        <v>338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ROW(Source!A148)</f>
        <v>148</v>
      </c>
      <c r="B317">
        <v>39478422</v>
      </c>
      <c r="C317">
        <v>39478418</v>
      </c>
      <c r="D317">
        <v>36801775</v>
      </c>
      <c r="E317">
        <v>1</v>
      </c>
      <c r="F317">
        <v>1</v>
      </c>
      <c r="G317">
        <v>1</v>
      </c>
      <c r="H317">
        <v>3</v>
      </c>
      <c r="I317" t="s">
        <v>1145</v>
      </c>
      <c r="J317" t="s">
        <v>1146</v>
      </c>
      <c r="K317" t="s">
        <v>1147</v>
      </c>
      <c r="L317">
        <v>1346</v>
      </c>
      <c r="N317">
        <v>1009</v>
      </c>
      <c r="O317" t="s">
        <v>217</v>
      </c>
      <c r="P317" t="s">
        <v>217</v>
      </c>
      <c r="Q317">
        <v>1</v>
      </c>
      <c r="X317">
        <v>1E-3</v>
      </c>
      <c r="Y317">
        <v>11.5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1E-3</v>
      </c>
      <c r="AH317">
        <v>2</v>
      </c>
      <c r="AI317">
        <v>39478422</v>
      </c>
      <c r="AJ317">
        <v>339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ROW(Source!A148)</f>
        <v>148</v>
      </c>
      <c r="B318">
        <v>39478423</v>
      </c>
      <c r="C318">
        <v>39478418</v>
      </c>
      <c r="D318">
        <v>36802094</v>
      </c>
      <c r="E318">
        <v>1</v>
      </c>
      <c r="F318">
        <v>1</v>
      </c>
      <c r="G318">
        <v>1</v>
      </c>
      <c r="H318">
        <v>3</v>
      </c>
      <c r="I318" t="s">
        <v>1084</v>
      </c>
      <c r="J318" t="s">
        <v>1085</v>
      </c>
      <c r="K318" t="s">
        <v>1086</v>
      </c>
      <c r="L318">
        <v>1346</v>
      </c>
      <c r="N318">
        <v>1009</v>
      </c>
      <c r="O318" t="s">
        <v>217</v>
      </c>
      <c r="P318" t="s">
        <v>217</v>
      </c>
      <c r="Q318">
        <v>1</v>
      </c>
      <c r="X318">
        <v>1.2E-2</v>
      </c>
      <c r="Y318">
        <v>30.4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1.2E-2</v>
      </c>
      <c r="AH318">
        <v>2</v>
      </c>
      <c r="AI318">
        <v>39478423</v>
      </c>
      <c r="AJ318">
        <v>340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ROW(Source!A148)</f>
        <v>148</v>
      </c>
      <c r="B319">
        <v>39478424</v>
      </c>
      <c r="C319">
        <v>39478418</v>
      </c>
      <c r="D319">
        <v>36803258</v>
      </c>
      <c r="E319">
        <v>1</v>
      </c>
      <c r="F319">
        <v>1</v>
      </c>
      <c r="G319">
        <v>1</v>
      </c>
      <c r="H319">
        <v>3</v>
      </c>
      <c r="I319" t="s">
        <v>1148</v>
      </c>
      <c r="J319" t="s">
        <v>1149</v>
      </c>
      <c r="K319" t="s">
        <v>1150</v>
      </c>
      <c r="L319">
        <v>1346</v>
      </c>
      <c r="N319">
        <v>1009</v>
      </c>
      <c r="O319" t="s">
        <v>217</v>
      </c>
      <c r="P319" t="s">
        <v>217</v>
      </c>
      <c r="Q319">
        <v>1</v>
      </c>
      <c r="X319">
        <v>7.0000000000000007E-2</v>
      </c>
      <c r="Y319">
        <v>10.57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7.0000000000000007E-2</v>
      </c>
      <c r="AH319">
        <v>2</v>
      </c>
      <c r="AI319">
        <v>39478424</v>
      </c>
      <c r="AJ319">
        <v>341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ROW(Source!A148)</f>
        <v>148</v>
      </c>
      <c r="B320">
        <v>39478425</v>
      </c>
      <c r="C320">
        <v>39478418</v>
      </c>
      <c r="D320">
        <v>36804448</v>
      </c>
      <c r="E320">
        <v>1</v>
      </c>
      <c r="F320">
        <v>1</v>
      </c>
      <c r="G320">
        <v>1</v>
      </c>
      <c r="H320">
        <v>3</v>
      </c>
      <c r="I320" t="s">
        <v>1124</v>
      </c>
      <c r="J320" t="s">
        <v>1125</v>
      </c>
      <c r="K320" t="s">
        <v>1083</v>
      </c>
      <c r="L320">
        <v>1346</v>
      </c>
      <c r="N320">
        <v>1009</v>
      </c>
      <c r="O320" t="s">
        <v>217</v>
      </c>
      <c r="P320" t="s">
        <v>217</v>
      </c>
      <c r="Q320">
        <v>1</v>
      </c>
      <c r="X320">
        <v>4.9000000000000002E-2</v>
      </c>
      <c r="Y320">
        <v>9.0399999999999991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4.9000000000000002E-2</v>
      </c>
      <c r="AH320">
        <v>2</v>
      </c>
      <c r="AI320">
        <v>39478425</v>
      </c>
      <c r="AJ320">
        <v>342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ROW(Source!A148)</f>
        <v>148</v>
      </c>
      <c r="B321">
        <v>39478426</v>
      </c>
      <c r="C321">
        <v>39478418</v>
      </c>
      <c r="D321">
        <v>36804580</v>
      </c>
      <c r="E321">
        <v>1</v>
      </c>
      <c r="F321">
        <v>1</v>
      </c>
      <c r="G321">
        <v>1</v>
      </c>
      <c r="H321">
        <v>3</v>
      </c>
      <c r="I321" t="s">
        <v>1131</v>
      </c>
      <c r="J321" t="s">
        <v>1132</v>
      </c>
      <c r="K321" t="s">
        <v>1133</v>
      </c>
      <c r="L321">
        <v>1355</v>
      </c>
      <c r="N321">
        <v>1010</v>
      </c>
      <c r="O321" t="s">
        <v>429</v>
      </c>
      <c r="P321" t="s">
        <v>429</v>
      </c>
      <c r="Q321">
        <v>100</v>
      </c>
      <c r="X321">
        <v>1.4E-2</v>
      </c>
      <c r="Y321">
        <v>86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1.4E-2</v>
      </c>
      <c r="AH321">
        <v>2</v>
      </c>
      <c r="AI321">
        <v>39478426</v>
      </c>
      <c r="AJ321">
        <v>343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ROW(Source!A148)</f>
        <v>148</v>
      </c>
      <c r="B322">
        <v>39478427</v>
      </c>
      <c r="C322">
        <v>39478418</v>
      </c>
      <c r="D322">
        <v>36805500</v>
      </c>
      <c r="E322">
        <v>1</v>
      </c>
      <c r="F322">
        <v>1</v>
      </c>
      <c r="G322">
        <v>1</v>
      </c>
      <c r="H322">
        <v>3</v>
      </c>
      <c r="I322" t="s">
        <v>1151</v>
      </c>
      <c r="J322" t="s">
        <v>1152</v>
      </c>
      <c r="K322" t="s">
        <v>1153</v>
      </c>
      <c r="L322">
        <v>1346</v>
      </c>
      <c r="N322">
        <v>1009</v>
      </c>
      <c r="O322" t="s">
        <v>217</v>
      </c>
      <c r="P322" t="s">
        <v>217</v>
      </c>
      <c r="Q322">
        <v>1</v>
      </c>
      <c r="X322">
        <v>1E-3</v>
      </c>
      <c r="Y322">
        <v>133.05000000000001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1E-3</v>
      </c>
      <c r="AH322">
        <v>2</v>
      </c>
      <c r="AI322">
        <v>39478427</v>
      </c>
      <c r="AJ322">
        <v>344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ROW(Source!A148)</f>
        <v>148</v>
      </c>
      <c r="B323">
        <v>39478428</v>
      </c>
      <c r="C323">
        <v>39478418</v>
      </c>
      <c r="D323">
        <v>36823140</v>
      </c>
      <c r="E323">
        <v>1</v>
      </c>
      <c r="F323">
        <v>1</v>
      </c>
      <c r="G323">
        <v>1</v>
      </c>
      <c r="H323">
        <v>3</v>
      </c>
      <c r="I323" t="s">
        <v>1154</v>
      </c>
      <c r="J323" t="s">
        <v>1155</v>
      </c>
      <c r="K323" t="s">
        <v>1156</v>
      </c>
      <c r="L323">
        <v>1348</v>
      </c>
      <c r="N323">
        <v>1009</v>
      </c>
      <c r="O323" t="s">
        <v>34</v>
      </c>
      <c r="P323" t="s">
        <v>34</v>
      </c>
      <c r="Q323">
        <v>1000</v>
      </c>
      <c r="X323">
        <v>1E-3</v>
      </c>
      <c r="Y323">
        <v>11500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1E-3</v>
      </c>
      <c r="AH323">
        <v>2</v>
      </c>
      <c r="AI323">
        <v>39478428</v>
      </c>
      <c r="AJ323">
        <v>345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ROW(Source!A148)</f>
        <v>148</v>
      </c>
      <c r="B324">
        <v>39478429</v>
      </c>
      <c r="C324">
        <v>39478418</v>
      </c>
      <c r="D324">
        <v>36838317</v>
      </c>
      <c r="E324">
        <v>1</v>
      </c>
      <c r="F324">
        <v>1</v>
      </c>
      <c r="G324">
        <v>1</v>
      </c>
      <c r="H324">
        <v>3</v>
      </c>
      <c r="I324" t="s">
        <v>1090</v>
      </c>
      <c r="J324" t="s">
        <v>1091</v>
      </c>
      <c r="K324" t="s">
        <v>1092</v>
      </c>
      <c r="L324">
        <v>1346</v>
      </c>
      <c r="N324">
        <v>1009</v>
      </c>
      <c r="O324" t="s">
        <v>217</v>
      </c>
      <c r="P324" t="s">
        <v>217</v>
      </c>
      <c r="Q324">
        <v>1</v>
      </c>
      <c r="X324">
        <v>3.5999999999999997E-2</v>
      </c>
      <c r="Y324">
        <v>28.6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3.5999999999999997E-2</v>
      </c>
      <c r="AH324">
        <v>2</v>
      </c>
      <c r="AI324">
        <v>39478429</v>
      </c>
      <c r="AJ324">
        <v>346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ROW(Source!A148)</f>
        <v>148</v>
      </c>
      <c r="B325">
        <v>39478430</v>
      </c>
      <c r="C325">
        <v>39478418</v>
      </c>
      <c r="D325">
        <v>36838470</v>
      </c>
      <c r="E325">
        <v>1</v>
      </c>
      <c r="F325">
        <v>1</v>
      </c>
      <c r="G325">
        <v>1</v>
      </c>
      <c r="H325">
        <v>3</v>
      </c>
      <c r="I325" t="s">
        <v>1157</v>
      </c>
      <c r="J325" t="s">
        <v>1158</v>
      </c>
      <c r="K325" t="s">
        <v>1159</v>
      </c>
      <c r="L325">
        <v>1346</v>
      </c>
      <c r="N325">
        <v>1009</v>
      </c>
      <c r="O325" t="s">
        <v>217</v>
      </c>
      <c r="P325" t="s">
        <v>217</v>
      </c>
      <c r="Q325">
        <v>1</v>
      </c>
      <c r="X325">
        <v>6.0000000000000001E-3</v>
      </c>
      <c r="Y325">
        <v>35.630000000000003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6.0000000000000001E-3</v>
      </c>
      <c r="AH325">
        <v>2</v>
      </c>
      <c r="AI325">
        <v>39478430</v>
      </c>
      <c r="AJ325">
        <v>347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ROW(Source!A148)</f>
        <v>148</v>
      </c>
      <c r="B326">
        <v>39478431</v>
      </c>
      <c r="C326">
        <v>39478418</v>
      </c>
      <c r="D326">
        <v>36851945</v>
      </c>
      <c r="E326">
        <v>1</v>
      </c>
      <c r="F326">
        <v>1</v>
      </c>
      <c r="G326">
        <v>1</v>
      </c>
      <c r="H326">
        <v>3</v>
      </c>
      <c r="I326" t="s">
        <v>1160</v>
      </c>
      <c r="J326" t="s">
        <v>1161</v>
      </c>
      <c r="K326" t="s">
        <v>1162</v>
      </c>
      <c r="L326">
        <v>1358</v>
      </c>
      <c r="N326">
        <v>1010</v>
      </c>
      <c r="O326" t="s">
        <v>160</v>
      </c>
      <c r="P326" t="s">
        <v>160</v>
      </c>
      <c r="Q326">
        <v>10</v>
      </c>
      <c r="X326">
        <v>0.1</v>
      </c>
      <c r="Y326">
        <v>39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0.1</v>
      </c>
      <c r="AH326">
        <v>2</v>
      </c>
      <c r="AI326">
        <v>39478431</v>
      </c>
      <c r="AJ326">
        <v>348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ROW(Source!A148)</f>
        <v>148</v>
      </c>
      <c r="B327">
        <v>39478432</v>
      </c>
      <c r="C327">
        <v>39478418</v>
      </c>
      <c r="D327">
        <v>36799065</v>
      </c>
      <c r="E327">
        <v>17</v>
      </c>
      <c r="F327">
        <v>1</v>
      </c>
      <c r="G327">
        <v>1</v>
      </c>
      <c r="H327">
        <v>3</v>
      </c>
      <c r="I327" t="s">
        <v>1099</v>
      </c>
      <c r="J327" t="s">
        <v>3</v>
      </c>
      <c r="K327" t="s">
        <v>1100</v>
      </c>
      <c r="L327">
        <v>1374</v>
      </c>
      <c r="N327">
        <v>1013</v>
      </c>
      <c r="O327" t="s">
        <v>1101</v>
      </c>
      <c r="P327" t="s">
        <v>1101</v>
      </c>
      <c r="Q327">
        <v>1</v>
      </c>
      <c r="X327">
        <v>0.3</v>
      </c>
      <c r="Y327">
        <v>1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0.3</v>
      </c>
      <c r="AH327">
        <v>2</v>
      </c>
      <c r="AI327">
        <v>39478432</v>
      </c>
      <c r="AJ327">
        <v>351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ROW(Source!A151)</f>
        <v>151</v>
      </c>
      <c r="B328">
        <v>39478440</v>
      </c>
      <c r="C328">
        <v>39478439</v>
      </c>
      <c r="D328">
        <v>37070202</v>
      </c>
      <c r="E328">
        <v>1</v>
      </c>
      <c r="F328">
        <v>1</v>
      </c>
      <c r="G328">
        <v>1</v>
      </c>
      <c r="H328">
        <v>1</v>
      </c>
      <c r="I328" t="s">
        <v>1137</v>
      </c>
      <c r="J328" t="s">
        <v>3</v>
      </c>
      <c r="K328" t="s">
        <v>1138</v>
      </c>
      <c r="L328">
        <v>1191</v>
      </c>
      <c r="N328">
        <v>1013</v>
      </c>
      <c r="O328" t="s">
        <v>796</v>
      </c>
      <c r="P328" t="s">
        <v>796</v>
      </c>
      <c r="Q328">
        <v>1</v>
      </c>
      <c r="X328">
        <v>16.29</v>
      </c>
      <c r="Y328">
        <v>0</v>
      </c>
      <c r="Z328">
        <v>0</v>
      </c>
      <c r="AA328">
        <v>0</v>
      </c>
      <c r="AB328">
        <v>9.51</v>
      </c>
      <c r="AC328">
        <v>0</v>
      </c>
      <c r="AD328">
        <v>1</v>
      </c>
      <c r="AE328">
        <v>1</v>
      </c>
      <c r="AF328" t="s">
        <v>371</v>
      </c>
      <c r="AG328">
        <v>19.547999999999998</v>
      </c>
      <c r="AH328">
        <v>2</v>
      </c>
      <c r="AI328">
        <v>39478440</v>
      </c>
      <c r="AJ328">
        <v>352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ROW(Source!A151)</f>
        <v>151</v>
      </c>
      <c r="B329">
        <v>39478441</v>
      </c>
      <c r="C329">
        <v>39478439</v>
      </c>
      <c r="D329">
        <v>37064876</v>
      </c>
      <c r="E329">
        <v>1</v>
      </c>
      <c r="F329">
        <v>1</v>
      </c>
      <c r="G329">
        <v>1</v>
      </c>
      <c r="H329">
        <v>1</v>
      </c>
      <c r="I329" t="s">
        <v>797</v>
      </c>
      <c r="J329" t="s">
        <v>3</v>
      </c>
      <c r="K329" t="s">
        <v>798</v>
      </c>
      <c r="L329">
        <v>1191</v>
      </c>
      <c r="N329">
        <v>1013</v>
      </c>
      <c r="O329" t="s">
        <v>796</v>
      </c>
      <c r="P329" t="s">
        <v>796</v>
      </c>
      <c r="Q329">
        <v>1</v>
      </c>
      <c r="X329">
        <v>0.01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2</v>
      </c>
      <c r="AF329" t="s">
        <v>371</v>
      </c>
      <c r="AG329">
        <v>1.2E-2</v>
      </c>
      <c r="AH329">
        <v>2</v>
      </c>
      <c r="AI329">
        <v>39478441</v>
      </c>
      <c r="AJ329">
        <v>353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ROW(Source!A151)</f>
        <v>151</v>
      </c>
      <c r="B330">
        <v>39478442</v>
      </c>
      <c r="C330">
        <v>39478439</v>
      </c>
      <c r="D330">
        <v>36882452</v>
      </c>
      <c r="E330">
        <v>1</v>
      </c>
      <c r="F330">
        <v>1</v>
      </c>
      <c r="G330">
        <v>1</v>
      </c>
      <c r="H330">
        <v>2</v>
      </c>
      <c r="I330" t="s">
        <v>799</v>
      </c>
      <c r="J330" t="s">
        <v>800</v>
      </c>
      <c r="K330" t="s">
        <v>801</v>
      </c>
      <c r="L330">
        <v>1368</v>
      </c>
      <c r="N330">
        <v>1011</v>
      </c>
      <c r="O330" t="s">
        <v>802</v>
      </c>
      <c r="P330" t="s">
        <v>802</v>
      </c>
      <c r="Q330">
        <v>1</v>
      </c>
      <c r="X330">
        <v>0.01</v>
      </c>
      <c r="Y330">
        <v>0</v>
      </c>
      <c r="Z330">
        <v>31.26</v>
      </c>
      <c r="AA330">
        <v>13.5</v>
      </c>
      <c r="AB330">
        <v>0</v>
      </c>
      <c r="AC330">
        <v>0</v>
      </c>
      <c r="AD330">
        <v>1</v>
      </c>
      <c r="AE330">
        <v>0</v>
      </c>
      <c r="AF330" t="s">
        <v>371</v>
      </c>
      <c r="AG330">
        <v>1.2E-2</v>
      </c>
      <c r="AH330">
        <v>2</v>
      </c>
      <c r="AI330">
        <v>39478442</v>
      </c>
      <c r="AJ330">
        <v>354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ROW(Source!A151)</f>
        <v>151</v>
      </c>
      <c r="B331">
        <v>39478443</v>
      </c>
      <c r="C331">
        <v>39478439</v>
      </c>
      <c r="D331">
        <v>36804582</v>
      </c>
      <c r="E331">
        <v>1</v>
      </c>
      <c r="F331">
        <v>1</v>
      </c>
      <c r="G331">
        <v>1</v>
      </c>
      <c r="H331">
        <v>3</v>
      </c>
      <c r="I331" t="s">
        <v>1163</v>
      </c>
      <c r="J331" t="s">
        <v>1164</v>
      </c>
      <c r="K331" t="s">
        <v>1165</v>
      </c>
      <c r="L331">
        <v>1356</v>
      </c>
      <c r="N331">
        <v>1010</v>
      </c>
      <c r="O331" t="s">
        <v>259</v>
      </c>
      <c r="P331" t="s">
        <v>259</v>
      </c>
      <c r="Q331">
        <v>1000</v>
      </c>
      <c r="X331">
        <v>0.2</v>
      </c>
      <c r="Y331">
        <v>180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0.2</v>
      </c>
      <c r="AH331">
        <v>2</v>
      </c>
      <c r="AI331">
        <v>39478443</v>
      </c>
      <c r="AJ331">
        <v>355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ROW(Source!A151)</f>
        <v>151</v>
      </c>
      <c r="B332">
        <v>39478444</v>
      </c>
      <c r="C332">
        <v>39478439</v>
      </c>
      <c r="D332">
        <v>36804944</v>
      </c>
      <c r="E332">
        <v>1</v>
      </c>
      <c r="F332">
        <v>1</v>
      </c>
      <c r="G332">
        <v>1</v>
      </c>
      <c r="H332">
        <v>3</v>
      </c>
      <c r="I332" t="s">
        <v>1116</v>
      </c>
      <c r="J332" t="s">
        <v>1117</v>
      </c>
      <c r="K332" t="s">
        <v>1118</v>
      </c>
      <c r="L332">
        <v>1348</v>
      </c>
      <c r="N332">
        <v>1009</v>
      </c>
      <c r="O332" t="s">
        <v>34</v>
      </c>
      <c r="P332" t="s">
        <v>34</v>
      </c>
      <c r="Q332">
        <v>1000</v>
      </c>
      <c r="X332">
        <v>1E-3</v>
      </c>
      <c r="Y332">
        <v>12430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1E-3</v>
      </c>
      <c r="AH332">
        <v>2</v>
      </c>
      <c r="AI332">
        <v>39478444</v>
      </c>
      <c r="AJ332">
        <v>356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ROW(Source!A151)</f>
        <v>151</v>
      </c>
      <c r="B333">
        <v>39478445</v>
      </c>
      <c r="C333">
        <v>39478439</v>
      </c>
      <c r="D333">
        <v>36799065</v>
      </c>
      <c r="E333">
        <v>17</v>
      </c>
      <c r="F333">
        <v>1</v>
      </c>
      <c r="G333">
        <v>1</v>
      </c>
      <c r="H333">
        <v>3</v>
      </c>
      <c r="I333" t="s">
        <v>1099</v>
      </c>
      <c r="J333" t="s">
        <v>3</v>
      </c>
      <c r="K333" t="s">
        <v>1100</v>
      </c>
      <c r="L333">
        <v>1374</v>
      </c>
      <c r="N333">
        <v>1013</v>
      </c>
      <c r="O333" t="s">
        <v>1101</v>
      </c>
      <c r="P333" t="s">
        <v>1101</v>
      </c>
      <c r="Q333">
        <v>1</v>
      </c>
      <c r="X333">
        <v>3.1</v>
      </c>
      <c r="Y333">
        <v>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3.1</v>
      </c>
      <c r="AH333">
        <v>2</v>
      </c>
      <c r="AI333">
        <v>39478445</v>
      </c>
      <c r="AJ333">
        <v>358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ROW(Source!A153)</f>
        <v>153</v>
      </c>
      <c r="B334">
        <v>39478447</v>
      </c>
      <c r="C334">
        <v>39478446</v>
      </c>
      <c r="D334">
        <v>37070202</v>
      </c>
      <c r="E334">
        <v>1</v>
      </c>
      <c r="F334">
        <v>1</v>
      </c>
      <c r="G334">
        <v>1</v>
      </c>
      <c r="H334">
        <v>1</v>
      </c>
      <c r="I334" t="s">
        <v>1137</v>
      </c>
      <c r="J334" t="s">
        <v>3</v>
      </c>
      <c r="K334" t="s">
        <v>1138</v>
      </c>
      <c r="L334">
        <v>1191</v>
      </c>
      <c r="N334">
        <v>1013</v>
      </c>
      <c r="O334" t="s">
        <v>796</v>
      </c>
      <c r="P334" t="s">
        <v>796</v>
      </c>
      <c r="Q334">
        <v>1</v>
      </c>
      <c r="X334">
        <v>18.39</v>
      </c>
      <c r="Y334">
        <v>0</v>
      </c>
      <c r="Z334">
        <v>0</v>
      </c>
      <c r="AA334">
        <v>0</v>
      </c>
      <c r="AB334">
        <v>9.51</v>
      </c>
      <c r="AC334">
        <v>0</v>
      </c>
      <c r="AD334">
        <v>1</v>
      </c>
      <c r="AE334">
        <v>1</v>
      </c>
      <c r="AF334" t="s">
        <v>3</v>
      </c>
      <c r="AG334">
        <v>18.39</v>
      </c>
      <c r="AH334">
        <v>2</v>
      </c>
      <c r="AI334">
        <v>39478447</v>
      </c>
      <c r="AJ334">
        <v>359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ROW(Source!A153)</f>
        <v>153</v>
      </c>
      <c r="B335">
        <v>39478448</v>
      </c>
      <c r="C335">
        <v>39478446</v>
      </c>
      <c r="D335">
        <v>37064876</v>
      </c>
      <c r="E335">
        <v>1</v>
      </c>
      <c r="F335">
        <v>1</v>
      </c>
      <c r="G335">
        <v>1</v>
      </c>
      <c r="H335">
        <v>1</v>
      </c>
      <c r="I335" t="s">
        <v>797</v>
      </c>
      <c r="J335" t="s">
        <v>3</v>
      </c>
      <c r="K335" t="s">
        <v>798</v>
      </c>
      <c r="L335">
        <v>1191</v>
      </c>
      <c r="N335">
        <v>1013</v>
      </c>
      <c r="O335" t="s">
        <v>796</v>
      </c>
      <c r="P335" t="s">
        <v>796</v>
      </c>
      <c r="Q335">
        <v>1</v>
      </c>
      <c r="X335">
        <v>0.01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2</v>
      </c>
      <c r="AF335" t="s">
        <v>3</v>
      </c>
      <c r="AG335">
        <v>0.01</v>
      </c>
      <c r="AH335">
        <v>2</v>
      </c>
      <c r="AI335">
        <v>39478448</v>
      </c>
      <c r="AJ335">
        <v>360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ROW(Source!A153)</f>
        <v>153</v>
      </c>
      <c r="B336">
        <v>39478449</v>
      </c>
      <c r="C336">
        <v>39478446</v>
      </c>
      <c r="D336">
        <v>36882452</v>
      </c>
      <c r="E336">
        <v>1</v>
      </c>
      <c r="F336">
        <v>1</v>
      </c>
      <c r="G336">
        <v>1</v>
      </c>
      <c r="H336">
        <v>2</v>
      </c>
      <c r="I336" t="s">
        <v>799</v>
      </c>
      <c r="J336" t="s">
        <v>800</v>
      </c>
      <c r="K336" t="s">
        <v>801</v>
      </c>
      <c r="L336">
        <v>1368</v>
      </c>
      <c r="N336">
        <v>1011</v>
      </c>
      <c r="O336" t="s">
        <v>802</v>
      </c>
      <c r="P336" t="s">
        <v>802</v>
      </c>
      <c r="Q336">
        <v>1</v>
      </c>
      <c r="X336">
        <v>0.01</v>
      </c>
      <c r="Y336">
        <v>0</v>
      </c>
      <c r="Z336">
        <v>31.26</v>
      </c>
      <c r="AA336">
        <v>13.5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0.01</v>
      </c>
      <c r="AH336">
        <v>2</v>
      </c>
      <c r="AI336">
        <v>39478449</v>
      </c>
      <c r="AJ336">
        <v>361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ROW(Source!A153)</f>
        <v>153</v>
      </c>
      <c r="B337">
        <v>39478450</v>
      </c>
      <c r="C337">
        <v>39478446</v>
      </c>
      <c r="D337">
        <v>36804582</v>
      </c>
      <c r="E337">
        <v>1</v>
      </c>
      <c r="F337">
        <v>1</v>
      </c>
      <c r="G337">
        <v>1</v>
      </c>
      <c r="H337">
        <v>3</v>
      </c>
      <c r="I337" t="s">
        <v>1163</v>
      </c>
      <c r="J337" t="s">
        <v>1164</v>
      </c>
      <c r="K337" t="s">
        <v>1165</v>
      </c>
      <c r="L337">
        <v>1356</v>
      </c>
      <c r="N337">
        <v>1010</v>
      </c>
      <c r="O337" t="s">
        <v>259</v>
      </c>
      <c r="P337" t="s">
        <v>259</v>
      </c>
      <c r="Q337">
        <v>1000</v>
      </c>
      <c r="X337">
        <v>0.3</v>
      </c>
      <c r="Y337">
        <v>180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0.3</v>
      </c>
      <c r="AH337">
        <v>2</v>
      </c>
      <c r="AI337">
        <v>39478450</v>
      </c>
      <c r="AJ337">
        <v>362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ROW(Source!A153)</f>
        <v>153</v>
      </c>
      <c r="B338">
        <v>39478451</v>
      </c>
      <c r="C338">
        <v>39478446</v>
      </c>
      <c r="D338">
        <v>36804944</v>
      </c>
      <c r="E338">
        <v>1</v>
      </c>
      <c r="F338">
        <v>1</v>
      </c>
      <c r="G338">
        <v>1</v>
      </c>
      <c r="H338">
        <v>3</v>
      </c>
      <c r="I338" t="s">
        <v>1116</v>
      </c>
      <c r="J338" t="s">
        <v>1117</v>
      </c>
      <c r="K338" t="s">
        <v>1118</v>
      </c>
      <c r="L338">
        <v>1348</v>
      </c>
      <c r="N338">
        <v>1009</v>
      </c>
      <c r="O338" t="s">
        <v>34</v>
      </c>
      <c r="P338" t="s">
        <v>34</v>
      </c>
      <c r="Q338">
        <v>1000</v>
      </c>
      <c r="X338">
        <v>1E-3</v>
      </c>
      <c r="Y338">
        <v>12430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1E-3</v>
      </c>
      <c r="AH338">
        <v>2</v>
      </c>
      <c r="AI338">
        <v>39478451</v>
      </c>
      <c r="AJ338">
        <v>363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ROW(Source!A153)</f>
        <v>153</v>
      </c>
      <c r="B339">
        <v>39478452</v>
      </c>
      <c r="C339">
        <v>39478446</v>
      </c>
      <c r="D339">
        <v>36799065</v>
      </c>
      <c r="E339">
        <v>17</v>
      </c>
      <c r="F339">
        <v>1</v>
      </c>
      <c r="G339">
        <v>1</v>
      </c>
      <c r="H339">
        <v>3</v>
      </c>
      <c r="I339" t="s">
        <v>1099</v>
      </c>
      <c r="J339" t="s">
        <v>3</v>
      </c>
      <c r="K339" t="s">
        <v>1100</v>
      </c>
      <c r="L339">
        <v>1374</v>
      </c>
      <c r="N339">
        <v>1013</v>
      </c>
      <c r="O339" t="s">
        <v>1101</v>
      </c>
      <c r="P339" t="s">
        <v>1101</v>
      </c>
      <c r="Q339">
        <v>1</v>
      </c>
      <c r="X339">
        <v>3.5</v>
      </c>
      <c r="Y339">
        <v>1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3.5</v>
      </c>
      <c r="AH339">
        <v>2</v>
      </c>
      <c r="AI339">
        <v>39478452</v>
      </c>
      <c r="AJ339">
        <v>365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ROW(Source!A155)</f>
        <v>155</v>
      </c>
      <c r="B340">
        <v>39478467</v>
      </c>
      <c r="C340">
        <v>39478463</v>
      </c>
      <c r="D340">
        <v>37072767</v>
      </c>
      <c r="E340">
        <v>1</v>
      </c>
      <c r="F340">
        <v>1</v>
      </c>
      <c r="G340">
        <v>1</v>
      </c>
      <c r="H340">
        <v>1</v>
      </c>
      <c r="I340" t="s">
        <v>949</v>
      </c>
      <c r="J340" t="s">
        <v>3</v>
      </c>
      <c r="K340" t="s">
        <v>950</v>
      </c>
      <c r="L340">
        <v>1191</v>
      </c>
      <c r="N340">
        <v>1013</v>
      </c>
      <c r="O340" t="s">
        <v>796</v>
      </c>
      <c r="P340" t="s">
        <v>796</v>
      </c>
      <c r="Q340">
        <v>1</v>
      </c>
      <c r="X340">
        <v>15.2</v>
      </c>
      <c r="Y340">
        <v>0</v>
      </c>
      <c r="Z340">
        <v>0</v>
      </c>
      <c r="AA340">
        <v>0</v>
      </c>
      <c r="AB340">
        <v>9.18</v>
      </c>
      <c r="AC340">
        <v>0</v>
      </c>
      <c r="AD340">
        <v>1</v>
      </c>
      <c r="AE340">
        <v>1</v>
      </c>
      <c r="AF340" t="s">
        <v>371</v>
      </c>
      <c r="AG340">
        <v>18.239999999999998</v>
      </c>
      <c r="AH340">
        <v>2</v>
      </c>
      <c r="AI340">
        <v>39478464</v>
      </c>
      <c r="AJ340">
        <v>366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ROW(Source!A155)</f>
        <v>155</v>
      </c>
      <c r="B341">
        <v>39478468</v>
      </c>
      <c r="C341">
        <v>39478463</v>
      </c>
      <c r="D341">
        <v>36804661</v>
      </c>
      <c r="E341">
        <v>1</v>
      </c>
      <c r="F341">
        <v>1</v>
      </c>
      <c r="G341">
        <v>1</v>
      </c>
      <c r="H341">
        <v>3</v>
      </c>
      <c r="I341" t="s">
        <v>1166</v>
      </c>
      <c r="J341" t="s">
        <v>1167</v>
      </c>
      <c r="K341" t="s">
        <v>1168</v>
      </c>
      <c r="L341">
        <v>1355</v>
      </c>
      <c r="N341">
        <v>1010</v>
      </c>
      <c r="O341" t="s">
        <v>429</v>
      </c>
      <c r="P341" t="s">
        <v>429</v>
      </c>
      <c r="Q341">
        <v>100</v>
      </c>
      <c r="X341">
        <v>1.75</v>
      </c>
      <c r="Y341">
        <v>8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1.75</v>
      </c>
      <c r="AH341">
        <v>2</v>
      </c>
      <c r="AI341">
        <v>39478465</v>
      </c>
      <c r="AJ341">
        <v>367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ROW(Source!A155)</f>
        <v>155</v>
      </c>
      <c r="B342">
        <v>39478469</v>
      </c>
      <c r="C342">
        <v>39478463</v>
      </c>
      <c r="D342">
        <v>36799065</v>
      </c>
      <c r="E342">
        <v>17</v>
      </c>
      <c r="F342">
        <v>1</v>
      </c>
      <c r="G342">
        <v>1</v>
      </c>
      <c r="H342">
        <v>3</v>
      </c>
      <c r="I342" t="s">
        <v>1099</v>
      </c>
      <c r="J342" t="s">
        <v>3</v>
      </c>
      <c r="K342" t="s">
        <v>1100</v>
      </c>
      <c r="L342">
        <v>1374</v>
      </c>
      <c r="N342">
        <v>1013</v>
      </c>
      <c r="O342" t="s">
        <v>1101</v>
      </c>
      <c r="P342" t="s">
        <v>1101</v>
      </c>
      <c r="Q342">
        <v>1</v>
      </c>
      <c r="X342">
        <v>2.79</v>
      </c>
      <c r="Y342">
        <v>1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2.79</v>
      </c>
      <c r="AH342">
        <v>2</v>
      </c>
      <c r="AI342">
        <v>39478466</v>
      </c>
      <c r="AJ342">
        <v>369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ROW(Source!A157)</f>
        <v>157</v>
      </c>
      <c r="B343">
        <v>39478475</v>
      </c>
      <c r="C343">
        <v>39478474</v>
      </c>
      <c r="D343">
        <v>37080781</v>
      </c>
      <c r="E343">
        <v>1</v>
      </c>
      <c r="F343">
        <v>1</v>
      </c>
      <c r="G343">
        <v>1</v>
      </c>
      <c r="H343">
        <v>1</v>
      </c>
      <c r="I343" t="s">
        <v>1129</v>
      </c>
      <c r="J343" t="s">
        <v>3</v>
      </c>
      <c r="K343" t="s">
        <v>1130</v>
      </c>
      <c r="L343">
        <v>1191</v>
      </c>
      <c r="N343">
        <v>1013</v>
      </c>
      <c r="O343" t="s">
        <v>796</v>
      </c>
      <c r="P343" t="s">
        <v>796</v>
      </c>
      <c r="Q343">
        <v>1</v>
      </c>
      <c r="X343">
        <v>148</v>
      </c>
      <c r="Y343">
        <v>0</v>
      </c>
      <c r="Z343">
        <v>0</v>
      </c>
      <c r="AA343">
        <v>0</v>
      </c>
      <c r="AB343">
        <v>9.92</v>
      </c>
      <c r="AC343">
        <v>0</v>
      </c>
      <c r="AD343">
        <v>1</v>
      </c>
      <c r="AE343">
        <v>1</v>
      </c>
      <c r="AF343" t="s">
        <v>371</v>
      </c>
      <c r="AG343">
        <v>177.6</v>
      </c>
      <c r="AH343">
        <v>2</v>
      </c>
      <c r="AI343">
        <v>39478475</v>
      </c>
      <c r="AJ343">
        <v>370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ROW(Source!A157)</f>
        <v>157</v>
      </c>
      <c r="B344">
        <v>39478476</v>
      </c>
      <c r="C344">
        <v>39478474</v>
      </c>
      <c r="D344">
        <v>37064876</v>
      </c>
      <c r="E344">
        <v>1</v>
      </c>
      <c r="F344">
        <v>1</v>
      </c>
      <c r="G344">
        <v>1</v>
      </c>
      <c r="H344">
        <v>1</v>
      </c>
      <c r="I344" t="s">
        <v>797</v>
      </c>
      <c r="J344" t="s">
        <v>3</v>
      </c>
      <c r="K344" t="s">
        <v>798</v>
      </c>
      <c r="L344">
        <v>1191</v>
      </c>
      <c r="N344">
        <v>1013</v>
      </c>
      <c r="O344" t="s">
        <v>796</v>
      </c>
      <c r="P344" t="s">
        <v>796</v>
      </c>
      <c r="Q344">
        <v>1</v>
      </c>
      <c r="X344">
        <v>0.6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371</v>
      </c>
      <c r="AG344">
        <v>0.72</v>
      </c>
      <c r="AH344">
        <v>2</v>
      </c>
      <c r="AI344">
        <v>39478476</v>
      </c>
      <c r="AJ344">
        <v>371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ROW(Source!A157)</f>
        <v>157</v>
      </c>
      <c r="B345">
        <v>39478477</v>
      </c>
      <c r="C345">
        <v>39478474</v>
      </c>
      <c r="D345">
        <v>36882159</v>
      </c>
      <c r="E345">
        <v>1</v>
      </c>
      <c r="F345">
        <v>1</v>
      </c>
      <c r="G345">
        <v>1</v>
      </c>
      <c r="H345">
        <v>2</v>
      </c>
      <c r="I345" t="s">
        <v>825</v>
      </c>
      <c r="J345" t="s">
        <v>826</v>
      </c>
      <c r="K345" t="s">
        <v>827</v>
      </c>
      <c r="L345">
        <v>1368</v>
      </c>
      <c r="N345">
        <v>1011</v>
      </c>
      <c r="O345" t="s">
        <v>802</v>
      </c>
      <c r="P345" t="s">
        <v>802</v>
      </c>
      <c r="Q345">
        <v>1</v>
      </c>
      <c r="X345">
        <v>0.3</v>
      </c>
      <c r="Y345">
        <v>0</v>
      </c>
      <c r="Z345">
        <v>111.99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371</v>
      </c>
      <c r="AG345">
        <v>0.36</v>
      </c>
      <c r="AH345">
        <v>2</v>
      </c>
      <c r="AI345">
        <v>39478477</v>
      </c>
      <c r="AJ345">
        <v>372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ROW(Source!A157)</f>
        <v>157</v>
      </c>
      <c r="B346">
        <v>39478478</v>
      </c>
      <c r="C346">
        <v>39478474</v>
      </c>
      <c r="D346">
        <v>36883554</v>
      </c>
      <c r="E346">
        <v>1</v>
      </c>
      <c r="F346">
        <v>1</v>
      </c>
      <c r="G346">
        <v>1</v>
      </c>
      <c r="H346">
        <v>2</v>
      </c>
      <c r="I346" t="s">
        <v>834</v>
      </c>
      <c r="J346" t="s">
        <v>835</v>
      </c>
      <c r="K346" t="s">
        <v>836</v>
      </c>
      <c r="L346">
        <v>1368</v>
      </c>
      <c r="N346">
        <v>1011</v>
      </c>
      <c r="O346" t="s">
        <v>802</v>
      </c>
      <c r="P346" t="s">
        <v>802</v>
      </c>
      <c r="Q346">
        <v>1</v>
      </c>
      <c r="X346">
        <v>0.3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371</v>
      </c>
      <c r="AG346">
        <v>0.36</v>
      </c>
      <c r="AH346">
        <v>2</v>
      </c>
      <c r="AI346">
        <v>39478478</v>
      </c>
      <c r="AJ346">
        <v>373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ROW(Source!A157)</f>
        <v>157</v>
      </c>
      <c r="B347">
        <v>39478479</v>
      </c>
      <c r="C347">
        <v>39478474</v>
      </c>
      <c r="D347">
        <v>36806488</v>
      </c>
      <c r="E347">
        <v>1</v>
      </c>
      <c r="F347">
        <v>1</v>
      </c>
      <c r="G347">
        <v>1</v>
      </c>
      <c r="H347">
        <v>3</v>
      </c>
      <c r="I347" t="s">
        <v>931</v>
      </c>
      <c r="J347" t="s">
        <v>932</v>
      </c>
      <c r="K347" t="s">
        <v>933</v>
      </c>
      <c r="L347">
        <v>1348</v>
      </c>
      <c r="N347">
        <v>1009</v>
      </c>
      <c r="O347" t="s">
        <v>34</v>
      </c>
      <c r="P347" t="s">
        <v>34</v>
      </c>
      <c r="Q347">
        <v>1000</v>
      </c>
      <c r="X347">
        <v>3.15E-3</v>
      </c>
      <c r="Y347">
        <v>729.98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3.15E-3</v>
      </c>
      <c r="AH347">
        <v>2</v>
      </c>
      <c r="AI347">
        <v>39478479</v>
      </c>
      <c r="AJ347">
        <v>374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ROW(Source!A157)</f>
        <v>157</v>
      </c>
      <c r="B348">
        <v>39478480</v>
      </c>
      <c r="C348">
        <v>39478474</v>
      </c>
      <c r="D348">
        <v>36867794</v>
      </c>
      <c r="E348">
        <v>1</v>
      </c>
      <c r="F348">
        <v>1</v>
      </c>
      <c r="G348">
        <v>1</v>
      </c>
      <c r="H348">
        <v>3</v>
      </c>
      <c r="I348" t="s">
        <v>1169</v>
      </c>
      <c r="J348" t="s">
        <v>1170</v>
      </c>
      <c r="K348" t="s">
        <v>1171</v>
      </c>
      <c r="L348">
        <v>1346</v>
      </c>
      <c r="N348">
        <v>1009</v>
      </c>
      <c r="O348" t="s">
        <v>217</v>
      </c>
      <c r="P348" t="s">
        <v>217</v>
      </c>
      <c r="Q348">
        <v>1</v>
      </c>
      <c r="X348">
        <v>3.09</v>
      </c>
      <c r="Y348">
        <v>35.700000000000003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3.09</v>
      </c>
      <c r="AH348">
        <v>2</v>
      </c>
      <c r="AI348">
        <v>39478480</v>
      </c>
      <c r="AJ348">
        <v>376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ROW(Source!A157)</f>
        <v>157</v>
      </c>
      <c r="B349">
        <v>39478481</v>
      </c>
      <c r="C349">
        <v>39478474</v>
      </c>
      <c r="D349">
        <v>36799065</v>
      </c>
      <c r="E349">
        <v>17</v>
      </c>
      <c r="F349">
        <v>1</v>
      </c>
      <c r="G349">
        <v>1</v>
      </c>
      <c r="H349">
        <v>3</v>
      </c>
      <c r="I349" t="s">
        <v>1099</v>
      </c>
      <c r="J349" t="s">
        <v>3</v>
      </c>
      <c r="K349" t="s">
        <v>1100</v>
      </c>
      <c r="L349">
        <v>1374</v>
      </c>
      <c r="N349">
        <v>1013</v>
      </c>
      <c r="O349" t="s">
        <v>1101</v>
      </c>
      <c r="P349" t="s">
        <v>1101</v>
      </c>
      <c r="Q349">
        <v>1</v>
      </c>
      <c r="X349">
        <v>29.36</v>
      </c>
      <c r="Y349">
        <v>1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29.36</v>
      </c>
      <c r="AH349">
        <v>2</v>
      </c>
      <c r="AI349">
        <v>39478481</v>
      </c>
      <c r="AJ349">
        <v>377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ROW(Source!A159)</f>
        <v>159</v>
      </c>
      <c r="B350">
        <v>39478488</v>
      </c>
      <c r="C350">
        <v>39478487</v>
      </c>
      <c r="D350">
        <v>37080781</v>
      </c>
      <c r="E350">
        <v>1</v>
      </c>
      <c r="F350">
        <v>1</v>
      </c>
      <c r="G350">
        <v>1</v>
      </c>
      <c r="H350">
        <v>1</v>
      </c>
      <c r="I350" t="s">
        <v>1129</v>
      </c>
      <c r="J350" t="s">
        <v>3</v>
      </c>
      <c r="K350" t="s">
        <v>1130</v>
      </c>
      <c r="L350">
        <v>1191</v>
      </c>
      <c r="N350">
        <v>1013</v>
      </c>
      <c r="O350" t="s">
        <v>796</v>
      </c>
      <c r="P350" t="s">
        <v>796</v>
      </c>
      <c r="Q350">
        <v>1</v>
      </c>
      <c r="X350">
        <v>26.24</v>
      </c>
      <c r="Y350">
        <v>0</v>
      </c>
      <c r="Z350">
        <v>0</v>
      </c>
      <c r="AA350">
        <v>0</v>
      </c>
      <c r="AB350">
        <v>9.92</v>
      </c>
      <c r="AC350">
        <v>0</v>
      </c>
      <c r="AD350">
        <v>1</v>
      </c>
      <c r="AE350">
        <v>1</v>
      </c>
      <c r="AF350" t="s">
        <v>371</v>
      </c>
      <c r="AG350">
        <v>31.487999999999996</v>
      </c>
      <c r="AH350">
        <v>2</v>
      </c>
      <c r="AI350">
        <v>39478488</v>
      </c>
      <c r="AJ350">
        <v>378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ROW(Source!A159)</f>
        <v>159</v>
      </c>
      <c r="B351">
        <v>39478489</v>
      </c>
      <c r="C351">
        <v>39478487</v>
      </c>
      <c r="D351">
        <v>37064876</v>
      </c>
      <c r="E351">
        <v>1</v>
      </c>
      <c r="F351">
        <v>1</v>
      </c>
      <c r="G351">
        <v>1</v>
      </c>
      <c r="H351">
        <v>1</v>
      </c>
      <c r="I351" t="s">
        <v>797</v>
      </c>
      <c r="J351" t="s">
        <v>3</v>
      </c>
      <c r="K351" t="s">
        <v>798</v>
      </c>
      <c r="L351">
        <v>1191</v>
      </c>
      <c r="N351">
        <v>1013</v>
      </c>
      <c r="O351" t="s">
        <v>796</v>
      </c>
      <c r="P351" t="s">
        <v>796</v>
      </c>
      <c r="Q351">
        <v>1</v>
      </c>
      <c r="X351">
        <v>0.05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371</v>
      </c>
      <c r="AG351">
        <v>0.06</v>
      </c>
      <c r="AH351">
        <v>2</v>
      </c>
      <c r="AI351">
        <v>39478489</v>
      </c>
      <c r="AJ351">
        <v>379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ROW(Source!A159)</f>
        <v>159</v>
      </c>
      <c r="B352">
        <v>39478490</v>
      </c>
      <c r="C352">
        <v>39478487</v>
      </c>
      <c r="D352">
        <v>36882159</v>
      </c>
      <c r="E352">
        <v>1</v>
      </c>
      <c r="F352">
        <v>1</v>
      </c>
      <c r="G352">
        <v>1</v>
      </c>
      <c r="H352">
        <v>2</v>
      </c>
      <c r="I352" t="s">
        <v>825</v>
      </c>
      <c r="J352" t="s">
        <v>826</v>
      </c>
      <c r="K352" t="s">
        <v>827</v>
      </c>
      <c r="L352">
        <v>1368</v>
      </c>
      <c r="N352">
        <v>1011</v>
      </c>
      <c r="O352" t="s">
        <v>802</v>
      </c>
      <c r="P352" t="s">
        <v>802</v>
      </c>
      <c r="Q352">
        <v>1</v>
      </c>
      <c r="X352">
        <v>0.03</v>
      </c>
      <c r="Y352">
        <v>0</v>
      </c>
      <c r="Z352">
        <v>111.99</v>
      </c>
      <c r="AA352">
        <v>13.5</v>
      </c>
      <c r="AB352">
        <v>0</v>
      </c>
      <c r="AC352">
        <v>0</v>
      </c>
      <c r="AD352">
        <v>1</v>
      </c>
      <c r="AE352">
        <v>0</v>
      </c>
      <c r="AF352" t="s">
        <v>371</v>
      </c>
      <c r="AG352">
        <v>3.5999999999999997E-2</v>
      </c>
      <c r="AH352">
        <v>2</v>
      </c>
      <c r="AI352">
        <v>39478490</v>
      </c>
      <c r="AJ352">
        <v>380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ROW(Source!A159)</f>
        <v>159</v>
      </c>
      <c r="B353">
        <v>39478491</v>
      </c>
      <c r="C353">
        <v>39478487</v>
      </c>
      <c r="D353">
        <v>36883554</v>
      </c>
      <c r="E353">
        <v>1</v>
      </c>
      <c r="F353">
        <v>1</v>
      </c>
      <c r="G353">
        <v>1</v>
      </c>
      <c r="H353">
        <v>2</v>
      </c>
      <c r="I353" t="s">
        <v>834</v>
      </c>
      <c r="J353" t="s">
        <v>835</v>
      </c>
      <c r="K353" t="s">
        <v>836</v>
      </c>
      <c r="L353">
        <v>1368</v>
      </c>
      <c r="N353">
        <v>1011</v>
      </c>
      <c r="O353" t="s">
        <v>802</v>
      </c>
      <c r="P353" t="s">
        <v>802</v>
      </c>
      <c r="Q353">
        <v>1</v>
      </c>
      <c r="X353">
        <v>0.02</v>
      </c>
      <c r="Y353">
        <v>0</v>
      </c>
      <c r="Z353">
        <v>65.709999999999994</v>
      </c>
      <c r="AA353">
        <v>11.6</v>
      </c>
      <c r="AB353">
        <v>0</v>
      </c>
      <c r="AC353">
        <v>0</v>
      </c>
      <c r="AD353">
        <v>1</v>
      </c>
      <c r="AE353">
        <v>0</v>
      </c>
      <c r="AF353" t="s">
        <v>371</v>
      </c>
      <c r="AG353">
        <v>2.4E-2</v>
      </c>
      <c r="AH353">
        <v>2</v>
      </c>
      <c r="AI353">
        <v>39478491</v>
      </c>
      <c r="AJ353">
        <v>381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ROW(Source!A159)</f>
        <v>159</v>
      </c>
      <c r="B354">
        <v>39478492</v>
      </c>
      <c r="C354">
        <v>39478487</v>
      </c>
      <c r="D354">
        <v>36806488</v>
      </c>
      <c r="E354">
        <v>1</v>
      </c>
      <c r="F354">
        <v>1</v>
      </c>
      <c r="G354">
        <v>1</v>
      </c>
      <c r="H354">
        <v>3</v>
      </c>
      <c r="I354" t="s">
        <v>931</v>
      </c>
      <c r="J354" t="s">
        <v>932</v>
      </c>
      <c r="K354" t="s">
        <v>933</v>
      </c>
      <c r="L354">
        <v>1348</v>
      </c>
      <c r="N354">
        <v>1009</v>
      </c>
      <c r="O354" t="s">
        <v>34</v>
      </c>
      <c r="P354" t="s">
        <v>34</v>
      </c>
      <c r="Q354">
        <v>1000</v>
      </c>
      <c r="X354">
        <v>3.15E-3</v>
      </c>
      <c r="Y354">
        <v>729.98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3.15E-3</v>
      </c>
      <c r="AH354">
        <v>2</v>
      </c>
      <c r="AI354">
        <v>39478492</v>
      </c>
      <c r="AJ354">
        <v>382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ROW(Source!A159)</f>
        <v>159</v>
      </c>
      <c r="B355">
        <v>39478493</v>
      </c>
      <c r="C355">
        <v>39478487</v>
      </c>
      <c r="D355">
        <v>36852067</v>
      </c>
      <c r="E355">
        <v>1</v>
      </c>
      <c r="F355">
        <v>1</v>
      </c>
      <c r="G355">
        <v>1</v>
      </c>
      <c r="H355">
        <v>3</v>
      </c>
      <c r="I355" t="s">
        <v>1172</v>
      </c>
      <c r="J355" t="s">
        <v>1173</v>
      </c>
      <c r="K355" t="s">
        <v>1174</v>
      </c>
      <c r="L355">
        <v>1356</v>
      </c>
      <c r="N355">
        <v>1010</v>
      </c>
      <c r="O355" t="s">
        <v>259</v>
      </c>
      <c r="P355" t="s">
        <v>259</v>
      </c>
      <c r="Q355">
        <v>1000</v>
      </c>
      <c r="X355">
        <v>0.10199999999999999</v>
      </c>
      <c r="Y355">
        <v>270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0.10199999999999999</v>
      </c>
      <c r="AH355">
        <v>2</v>
      </c>
      <c r="AI355">
        <v>39478493</v>
      </c>
      <c r="AJ355">
        <v>383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ROW(Source!A159)</f>
        <v>159</v>
      </c>
      <c r="B356">
        <v>39478494</v>
      </c>
      <c r="C356">
        <v>39478487</v>
      </c>
      <c r="D356">
        <v>36799065</v>
      </c>
      <c r="E356">
        <v>17</v>
      </c>
      <c r="F356">
        <v>1</v>
      </c>
      <c r="G356">
        <v>1</v>
      </c>
      <c r="H356">
        <v>3</v>
      </c>
      <c r="I356" t="s">
        <v>1099</v>
      </c>
      <c r="J356" t="s">
        <v>3</v>
      </c>
      <c r="K356" t="s">
        <v>1100</v>
      </c>
      <c r="L356">
        <v>1374</v>
      </c>
      <c r="N356">
        <v>1013</v>
      </c>
      <c r="O356" t="s">
        <v>1101</v>
      </c>
      <c r="P356" t="s">
        <v>1101</v>
      </c>
      <c r="Q356">
        <v>1</v>
      </c>
      <c r="X356">
        <v>5.21</v>
      </c>
      <c r="Y356">
        <v>1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5.21</v>
      </c>
      <c r="AH356">
        <v>2</v>
      </c>
      <c r="AI356">
        <v>39478494</v>
      </c>
      <c r="AJ356">
        <v>385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ROW(Source!A195)</f>
        <v>195</v>
      </c>
      <c r="B357">
        <v>39478499</v>
      </c>
      <c r="C357">
        <v>39478498</v>
      </c>
      <c r="D357">
        <v>37519679</v>
      </c>
      <c r="E357">
        <v>1</v>
      </c>
      <c r="F357">
        <v>1</v>
      </c>
      <c r="G357">
        <v>1</v>
      </c>
      <c r="H357">
        <v>1</v>
      </c>
      <c r="I357" t="s">
        <v>1175</v>
      </c>
      <c r="J357" t="s">
        <v>3</v>
      </c>
      <c r="K357" t="s">
        <v>1176</v>
      </c>
      <c r="L357">
        <v>1191</v>
      </c>
      <c r="N357">
        <v>1013</v>
      </c>
      <c r="O357" t="s">
        <v>796</v>
      </c>
      <c r="P357" t="s">
        <v>796</v>
      </c>
      <c r="Q357">
        <v>1</v>
      </c>
      <c r="X357">
        <v>0.16</v>
      </c>
      <c r="Y357">
        <v>0</v>
      </c>
      <c r="Z357">
        <v>0</v>
      </c>
      <c r="AA357">
        <v>0</v>
      </c>
      <c r="AB357">
        <v>12.92</v>
      </c>
      <c r="AC357">
        <v>0</v>
      </c>
      <c r="AD357">
        <v>1</v>
      </c>
      <c r="AE357">
        <v>1</v>
      </c>
      <c r="AF357" t="s">
        <v>490</v>
      </c>
      <c r="AG357">
        <v>0.128</v>
      </c>
      <c r="AH357">
        <v>2</v>
      </c>
      <c r="AI357">
        <v>39478499</v>
      </c>
      <c r="AJ357">
        <v>386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ROW(Source!A195)</f>
        <v>195</v>
      </c>
      <c r="B358">
        <v>39478500</v>
      </c>
      <c r="C358">
        <v>39478498</v>
      </c>
      <c r="D358">
        <v>37518716</v>
      </c>
      <c r="E358">
        <v>1</v>
      </c>
      <c r="F358">
        <v>1</v>
      </c>
      <c r="G358">
        <v>1</v>
      </c>
      <c r="H358">
        <v>1</v>
      </c>
      <c r="I358" t="s">
        <v>1177</v>
      </c>
      <c r="J358" t="s">
        <v>3</v>
      </c>
      <c r="K358" t="s">
        <v>1178</v>
      </c>
      <c r="L358">
        <v>1191</v>
      </c>
      <c r="N358">
        <v>1013</v>
      </c>
      <c r="O358" t="s">
        <v>796</v>
      </c>
      <c r="P358" t="s">
        <v>796</v>
      </c>
      <c r="Q358">
        <v>1</v>
      </c>
      <c r="X358">
        <v>0.16</v>
      </c>
      <c r="Y358">
        <v>0</v>
      </c>
      <c r="Z358">
        <v>0</v>
      </c>
      <c r="AA358">
        <v>0</v>
      </c>
      <c r="AB358">
        <v>12.69</v>
      </c>
      <c r="AC358">
        <v>0</v>
      </c>
      <c r="AD358">
        <v>1</v>
      </c>
      <c r="AE358">
        <v>1</v>
      </c>
      <c r="AF358" t="s">
        <v>490</v>
      </c>
      <c r="AG358">
        <v>0.128</v>
      </c>
      <c r="AH358">
        <v>2</v>
      </c>
      <c r="AI358">
        <v>39478500</v>
      </c>
      <c r="AJ358">
        <v>387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ROW(Source!A196)</f>
        <v>196</v>
      </c>
      <c r="B359">
        <v>39478502</v>
      </c>
      <c r="C359">
        <v>39478501</v>
      </c>
      <c r="D359">
        <v>37519679</v>
      </c>
      <c r="E359">
        <v>1</v>
      </c>
      <c r="F359">
        <v>1</v>
      </c>
      <c r="G359">
        <v>1</v>
      </c>
      <c r="H359">
        <v>1</v>
      </c>
      <c r="I359" t="s">
        <v>1175</v>
      </c>
      <c r="J359" t="s">
        <v>3</v>
      </c>
      <c r="K359" t="s">
        <v>1176</v>
      </c>
      <c r="L359">
        <v>1191</v>
      </c>
      <c r="N359">
        <v>1013</v>
      </c>
      <c r="O359" t="s">
        <v>796</v>
      </c>
      <c r="P359" t="s">
        <v>796</v>
      </c>
      <c r="Q359">
        <v>1</v>
      </c>
      <c r="X359">
        <v>6.48</v>
      </c>
      <c r="Y359">
        <v>0</v>
      </c>
      <c r="Z359">
        <v>0</v>
      </c>
      <c r="AA359">
        <v>0</v>
      </c>
      <c r="AB359">
        <v>12.92</v>
      </c>
      <c r="AC359">
        <v>0</v>
      </c>
      <c r="AD359">
        <v>1</v>
      </c>
      <c r="AE359">
        <v>1</v>
      </c>
      <c r="AF359" t="s">
        <v>490</v>
      </c>
      <c r="AG359">
        <v>5.1840000000000011</v>
      </c>
      <c r="AH359">
        <v>2</v>
      </c>
      <c r="AI359">
        <v>39478502</v>
      </c>
      <c r="AJ359">
        <v>388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ROW(Source!A196)</f>
        <v>196</v>
      </c>
      <c r="B360">
        <v>39478503</v>
      </c>
      <c r="C360">
        <v>39478501</v>
      </c>
      <c r="D360">
        <v>37518716</v>
      </c>
      <c r="E360">
        <v>1</v>
      </c>
      <c r="F360">
        <v>1</v>
      </c>
      <c r="G360">
        <v>1</v>
      </c>
      <c r="H360">
        <v>1</v>
      </c>
      <c r="I360" t="s">
        <v>1177</v>
      </c>
      <c r="J360" t="s">
        <v>3</v>
      </c>
      <c r="K360" t="s">
        <v>1178</v>
      </c>
      <c r="L360">
        <v>1191</v>
      </c>
      <c r="N360">
        <v>1013</v>
      </c>
      <c r="O360" t="s">
        <v>796</v>
      </c>
      <c r="P360" t="s">
        <v>796</v>
      </c>
      <c r="Q360">
        <v>1</v>
      </c>
      <c r="X360">
        <v>6.48</v>
      </c>
      <c r="Y360">
        <v>0</v>
      </c>
      <c r="Z360">
        <v>0</v>
      </c>
      <c r="AA360">
        <v>0</v>
      </c>
      <c r="AB360">
        <v>12.69</v>
      </c>
      <c r="AC360">
        <v>0</v>
      </c>
      <c r="AD360">
        <v>1</v>
      </c>
      <c r="AE360">
        <v>1</v>
      </c>
      <c r="AF360" t="s">
        <v>490</v>
      </c>
      <c r="AG360">
        <v>5.1840000000000011</v>
      </c>
      <c r="AH360">
        <v>2</v>
      </c>
      <c r="AI360">
        <v>39478503</v>
      </c>
      <c r="AJ360">
        <v>389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ROW(Source!A197)</f>
        <v>197</v>
      </c>
      <c r="B361">
        <v>39478505</v>
      </c>
      <c r="C361">
        <v>39478504</v>
      </c>
      <c r="D361">
        <v>37519679</v>
      </c>
      <c r="E361">
        <v>1</v>
      </c>
      <c r="F361">
        <v>1</v>
      </c>
      <c r="G361">
        <v>1</v>
      </c>
      <c r="H361">
        <v>1</v>
      </c>
      <c r="I361" t="s">
        <v>1175</v>
      </c>
      <c r="J361" t="s">
        <v>3</v>
      </c>
      <c r="K361" t="s">
        <v>1176</v>
      </c>
      <c r="L361">
        <v>1191</v>
      </c>
      <c r="N361">
        <v>1013</v>
      </c>
      <c r="O361" t="s">
        <v>796</v>
      </c>
      <c r="P361" t="s">
        <v>796</v>
      </c>
      <c r="Q361">
        <v>1</v>
      </c>
      <c r="X361">
        <v>0.61</v>
      </c>
      <c r="Y361">
        <v>0</v>
      </c>
      <c r="Z361">
        <v>0</v>
      </c>
      <c r="AA361">
        <v>0</v>
      </c>
      <c r="AB361">
        <v>12.92</v>
      </c>
      <c r="AC361">
        <v>0</v>
      </c>
      <c r="AD361">
        <v>1</v>
      </c>
      <c r="AE361">
        <v>1</v>
      </c>
      <c r="AF361" t="s">
        <v>490</v>
      </c>
      <c r="AG361">
        <v>0.48799999999999999</v>
      </c>
      <c r="AH361">
        <v>2</v>
      </c>
      <c r="AI361">
        <v>39478505</v>
      </c>
      <c r="AJ361">
        <v>390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ROW(Source!A197)</f>
        <v>197</v>
      </c>
      <c r="B362">
        <v>39478506</v>
      </c>
      <c r="C362">
        <v>39478504</v>
      </c>
      <c r="D362">
        <v>37518716</v>
      </c>
      <c r="E362">
        <v>1</v>
      </c>
      <c r="F362">
        <v>1</v>
      </c>
      <c r="G362">
        <v>1</v>
      </c>
      <c r="H362">
        <v>1</v>
      </c>
      <c r="I362" t="s">
        <v>1177</v>
      </c>
      <c r="J362" t="s">
        <v>3</v>
      </c>
      <c r="K362" t="s">
        <v>1178</v>
      </c>
      <c r="L362">
        <v>1191</v>
      </c>
      <c r="N362">
        <v>1013</v>
      </c>
      <c r="O362" t="s">
        <v>796</v>
      </c>
      <c r="P362" t="s">
        <v>796</v>
      </c>
      <c r="Q362">
        <v>1</v>
      </c>
      <c r="X362">
        <v>0.61</v>
      </c>
      <c r="Y362">
        <v>0</v>
      </c>
      <c r="Z362">
        <v>0</v>
      </c>
      <c r="AA362">
        <v>0</v>
      </c>
      <c r="AB362">
        <v>12.69</v>
      </c>
      <c r="AC362">
        <v>0</v>
      </c>
      <c r="AD362">
        <v>1</v>
      </c>
      <c r="AE362">
        <v>1</v>
      </c>
      <c r="AF362" t="s">
        <v>490</v>
      </c>
      <c r="AG362">
        <v>0.48799999999999999</v>
      </c>
      <c r="AH362">
        <v>2</v>
      </c>
      <c r="AI362">
        <v>39478506</v>
      </c>
      <c r="AJ362">
        <v>391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ROW(Source!A232)</f>
        <v>232</v>
      </c>
      <c r="B363">
        <v>39478508</v>
      </c>
      <c r="C363">
        <v>39478507</v>
      </c>
      <c r="D363">
        <v>37065248</v>
      </c>
      <c r="E363">
        <v>1</v>
      </c>
      <c r="F363">
        <v>1</v>
      </c>
      <c r="G363">
        <v>1</v>
      </c>
      <c r="H363">
        <v>1</v>
      </c>
      <c r="I363" t="s">
        <v>895</v>
      </c>
      <c r="J363" t="s">
        <v>3</v>
      </c>
      <c r="K363" t="s">
        <v>896</v>
      </c>
      <c r="L363">
        <v>1191</v>
      </c>
      <c r="N363">
        <v>1013</v>
      </c>
      <c r="O363" t="s">
        <v>796</v>
      </c>
      <c r="P363" t="s">
        <v>796</v>
      </c>
      <c r="Q363">
        <v>1</v>
      </c>
      <c r="X363">
        <v>36.71</v>
      </c>
      <c r="Y363">
        <v>0</v>
      </c>
      <c r="Z363">
        <v>0</v>
      </c>
      <c r="AA363">
        <v>0</v>
      </c>
      <c r="AB363">
        <v>8.5299999999999994</v>
      </c>
      <c r="AC363">
        <v>0</v>
      </c>
      <c r="AD363">
        <v>1</v>
      </c>
      <c r="AE363">
        <v>1</v>
      </c>
      <c r="AF363" t="s">
        <v>3</v>
      </c>
      <c r="AG363">
        <v>36.71</v>
      </c>
      <c r="AH363">
        <v>2</v>
      </c>
      <c r="AI363">
        <v>39478508</v>
      </c>
      <c r="AJ363">
        <v>392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ROW(Source!A232)</f>
        <v>232</v>
      </c>
      <c r="B364">
        <v>39478509</v>
      </c>
      <c r="C364">
        <v>39478507</v>
      </c>
      <c r="D364">
        <v>37064876</v>
      </c>
      <c r="E364">
        <v>1</v>
      </c>
      <c r="F364">
        <v>1</v>
      </c>
      <c r="G364">
        <v>1</v>
      </c>
      <c r="H364">
        <v>1</v>
      </c>
      <c r="I364" t="s">
        <v>797</v>
      </c>
      <c r="J364" t="s">
        <v>3</v>
      </c>
      <c r="K364" t="s">
        <v>798</v>
      </c>
      <c r="L364">
        <v>1191</v>
      </c>
      <c r="N364">
        <v>1013</v>
      </c>
      <c r="O364" t="s">
        <v>796</v>
      </c>
      <c r="P364" t="s">
        <v>796</v>
      </c>
      <c r="Q364">
        <v>1</v>
      </c>
      <c r="X364">
        <v>7.0000000000000007E-2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3</v>
      </c>
      <c r="AG364">
        <v>7.0000000000000007E-2</v>
      </c>
      <c r="AH364">
        <v>2</v>
      </c>
      <c r="AI364">
        <v>39478509</v>
      </c>
      <c r="AJ364">
        <v>393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ROW(Source!A232)</f>
        <v>232</v>
      </c>
      <c r="B365">
        <v>39478510</v>
      </c>
      <c r="C365">
        <v>39478507</v>
      </c>
      <c r="D365">
        <v>36882452</v>
      </c>
      <c r="E365">
        <v>1</v>
      </c>
      <c r="F365">
        <v>1</v>
      </c>
      <c r="G365">
        <v>1</v>
      </c>
      <c r="H365">
        <v>2</v>
      </c>
      <c r="I365" t="s">
        <v>799</v>
      </c>
      <c r="J365" t="s">
        <v>800</v>
      </c>
      <c r="K365" t="s">
        <v>801</v>
      </c>
      <c r="L365">
        <v>1368</v>
      </c>
      <c r="N365">
        <v>1011</v>
      </c>
      <c r="O365" t="s">
        <v>802</v>
      </c>
      <c r="P365" t="s">
        <v>802</v>
      </c>
      <c r="Q365">
        <v>1</v>
      </c>
      <c r="X365">
        <v>7.0000000000000007E-2</v>
      </c>
      <c r="Y365">
        <v>0</v>
      </c>
      <c r="Z365">
        <v>31.26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7.0000000000000007E-2</v>
      </c>
      <c r="AH365">
        <v>2</v>
      </c>
      <c r="AI365">
        <v>39478510</v>
      </c>
      <c r="AJ365">
        <v>394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ROW(Source!A232)</f>
        <v>232</v>
      </c>
      <c r="B366">
        <v>39478511</v>
      </c>
      <c r="C366">
        <v>39478507</v>
      </c>
      <c r="D366">
        <v>36799082</v>
      </c>
      <c r="E366">
        <v>17</v>
      </c>
      <c r="F366">
        <v>1</v>
      </c>
      <c r="G366">
        <v>1</v>
      </c>
      <c r="H366">
        <v>3</v>
      </c>
      <c r="I366" t="s">
        <v>1251</v>
      </c>
      <c r="J366" t="s">
        <v>3</v>
      </c>
      <c r="K366" t="s">
        <v>1252</v>
      </c>
      <c r="L366">
        <v>1348</v>
      </c>
      <c r="N366">
        <v>1009</v>
      </c>
      <c r="O366" t="s">
        <v>34</v>
      </c>
      <c r="P366" t="s">
        <v>34</v>
      </c>
      <c r="Q366">
        <v>1000</v>
      </c>
      <c r="X366">
        <v>0.22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3</v>
      </c>
      <c r="AG366">
        <v>0.22</v>
      </c>
      <c r="AH366">
        <v>3</v>
      </c>
      <c r="AI366">
        <v>-1</v>
      </c>
      <c r="AJ366" t="s">
        <v>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ROW(Source!A233)</f>
        <v>233</v>
      </c>
      <c r="B367">
        <v>39478674</v>
      </c>
      <c r="C367">
        <v>39478673</v>
      </c>
      <c r="D367">
        <v>37065248</v>
      </c>
      <c r="E367">
        <v>1</v>
      </c>
      <c r="F367">
        <v>1</v>
      </c>
      <c r="G367">
        <v>1</v>
      </c>
      <c r="H367">
        <v>1</v>
      </c>
      <c r="I367" t="s">
        <v>895</v>
      </c>
      <c r="J367" t="s">
        <v>3</v>
      </c>
      <c r="K367" t="s">
        <v>896</v>
      </c>
      <c r="L367">
        <v>1191</v>
      </c>
      <c r="N367">
        <v>1013</v>
      </c>
      <c r="O367" t="s">
        <v>796</v>
      </c>
      <c r="P367" t="s">
        <v>796</v>
      </c>
      <c r="Q367">
        <v>1</v>
      </c>
      <c r="X367">
        <v>51.3</v>
      </c>
      <c r="Y367">
        <v>0</v>
      </c>
      <c r="Z367">
        <v>0</v>
      </c>
      <c r="AA367">
        <v>0</v>
      </c>
      <c r="AB367">
        <v>8.5299999999999994</v>
      </c>
      <c r="AC367">
        <v>0</v>
      </c>
      <c r="AD367">
        <v>1</v>
      </c>
      <c r="AE367">
        <v>1</v>
      </c>
      <c r="AF367" t="s">
        <v>3</v>
      </c>
      <c r="AG367">
        <v>51.3</v>
      </c>
      <c r="AH367">
        <v>2</v>
      </c>
      <c r="AI367">
        <v>39478674</v>
      </c>
      <c r="AJ367">
        <v>395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ROW(Source!A233)</f>
        <v>233</v>
      </c>
      <c r="B368">
        <v>39478675</v>
      </c>
      <c r="C368">
        <v>39478673</v>
      </c>
      <c r="D368">
        <v>37064876</v>
      </c>
      <c r="E368">
        <v>1</v>
      </c>
      <c r="F368">
        <v>1</v>
      </c>
      <c r="G368">
        <v>1</v>
      </c>
      <c r="H368">
        <v>1</v>
      </c>
      <c r="I368" t="s">
        <v>797</v>
      </c>
      <c r="J368" t="s">
        <v>3</v>
      </c>
      <c r="K368" t="s">
        <v>798</v>
      </c>
      <c r="L368">
        <v>1191</v>
      </c>
      <c r="N368">
        <v>1013</v>
      </c>
      <c r="O368" t="s">
        <v>796</v>
      </c>
      <c r="P368" t="s">
        <v>796</v>
      </c>
      <c r="Q368">
        <v>1</v>
      </c>
      <c r="X368">
        <v>0.26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2</v>
      </c>
      <c r="AF368" t="s">
        <v>3</v>
      </c>
      <c r="AG368">
        <v>0.26</v>
      </c>
      <c r="AH368">
        <v>2</v>
      </c>
      <c r="AI368">
        <v>39478675</v>
      </c>
      <c r="AJ368">
        <v>396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ROW(Source!A233)</f>
        <v>233</v>
      </c>
      <c r="B369">
        <v>39478676</v>
      </c>
      <c r="C369">
        <v>39478673</v>
      </c>
      <c r="D369">
        <v>36882452</v>
      </c>
      <c r="E369">
        <v>1</v>
      </c>
      <c r="F369">
        <v>1</v>
      </c>
      <c r="G369">
        <v>1</v>
      </c>
      <c r="H369">
        <v>2</v>
      </c>
      <c r="I369" t="s">
        <v>799</v>
      </c>
      <c r="J369" t="s">
        <v>800</v>
      </c>
      <c r="K369" t="s">
        <v>801</v>
      </c>
      <c r="L369">
        <v>1368</v>
      </c>
      <c r="N369">
        <v>1011</v>
      </c>
      <c r="O369" t="s">
        <v>802</v>
      </c>
      <c r="P369" t="s">
        <v>802</v>
      </c>
      <c r="Q369">
        <v>1</v>
      </c>
      <c r="X369">
        <v>0.26</v>
      </c>
      <c r="Y369">
        <v>0</v>
      </c>
      <c r="Z369">
        <v>31.26</v>
      </c>
      <c r="AA369">
        <v>13.5</v>
      </c>
      <c r="AB369">
        <v>0</v>
      </c>
      <c r="AC369">
        <v>0</v>
      </c>
      <c r="AD369">
        <v>1</v>
      </c>
      <c r="AE369">
        <v>0</v>
      </c>
      <c r="AF369" t="s">
        <v>3</v>
      </c>
      <c r="AG369">
        <v>0.26</v>
      </c>
      <c r="AH369">
        <v>2</v>
      </c>
      <c r="AI369">
        <v>39478676</v>
      </c>
      <c r="AJ369">
        <v>397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ROW(Source!A233)</f>
        <v>233</v>
      </c>
      <c r="B370">
        <v>39478677</v>
      </c>
      <c r="C370">
        <v>39478673</v>
      </c>
      <c r="D370">
        <v>36799082</v>
      </c>
      <c r="E370">
        <v>17</v>
      </c>
      <c r="F370">
        <v>1</v>
      </c>
      <c r="G370">
        <v>1</v>
      </c>
      <c r="H370">
        <v>3</v>
      </c>
      <c r="I370" t="s">
        <v>1251</v>
      </c>
      <c r="J370" t="s">
        <v>3</v>
      </c>
      <c r="K370" t="s">
        <v>1252</v>
      </c>
      <c r="L370">
        <v>1348</v>
      </c>
      <c r="N370">
        <v>1009</v>
      </c>
      <c r="O370" t="s">
        <v>34</v>
      </c>
      <c r="P370" t="s">
        <v>34</v>
      </c>
      <c r="Q370">
        <v>1000</v>
      </c>
      <c r="X370">
        <v>1.82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 t="s">
        <v>3</v>
      </c>
      <c r="AG370">
        <v>1.82</v>
      </c>
      <c r="AH370">
        <v>3</v>
      </c>
      <c r="AI370">
        <v>-1</v>
      </c>
      <c r="AJ370" t="s">
        <v>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ROW(Source!A234)</f>
        <v>234</v>
      </c>
      <c r="B371">
        <v>39478597</v>
      </c>
      <c r="C371">
        <v>39478596</v>
      </c>
      <c r="D371">
        <v>37080781</v>
      </c>
      <c r="E371">
        <v>1</v>
      </c>
      <c r="F371">
        <v>1</v>
      </c>
      <c r="G371">
        <v>1</v>
      </c>
      <c r="H371">
        <v>1</v>
      </c>
      <c r="I371" t="s">
        <v>1129</v>
      </c>
      <c r="J371" t="s">
        <v>3</v>
      </c>
      <c r="K371" t="s">
        <v>1130</v>
      </c>
      <c r="L371">
        <v>1191</v>
      </c>
      <c r="N371">
        <v>1013</v>
      </c>
      <c r="O371" t="s">
        <v>796</v>
      </c>
      <c r="P371" t="s">
        <v>796</v>
      </c>
      <c r="Q371">
        <v>1</v>
      </c>
      <c r="X371">
        <v>190.24</v>
      </c>
      <c r="Y371">
        <v>0</v>
      </c>
      <c r="Z371">
        <v>0</v>
      </c>
      <c r="AA371">
        <v>0</v>
      </c>
      <c r="AB371">
        <v>9.92</v>
      </c>
      <c r="AC371">
        <v>0</v>
      </c>
      <c r="AD371">
        <v>1</v>
      </c>
      <c r="AE371">
        <v>1</v>
      </c>
      <c r="AF371" t="s">
        <v>54</v>
      </c>
      <c r="AG371">
        <v>262.53119999999996</v>
      </c>
      <c r="AH371">
        <v>2</v>
      </c>
      <c r="AI371">
        <v>39478597</v>
      </c>
      <c r="AJ371">
        <v>398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ROW(Source!A234)</f>
        <v>234</v>
      </c>
      <c r="B372">
        <v>39478598</v>
      </c>
      <c r="C372">
        <v>39478596</v>
      </c>
      <c r="D372">
        <v>37064876</v>
      </c>
      <c r="E372">
        <v>1</v>
      </c>
      <c r="F372">
        <v>1</v>
      </c>
      <c r="G372">
        <v>1</v>
      </c>
      <c r="H372">
        <v>1</v>
      </c>
      <c r="I372" t="s">
        <v>797</v>
      </c>
      <c r="J372" t="s">
        <v>3</v>
      </c>
      <c r="K372" t="s">
        <v>798</v>
      </c>
      <c r="L372">
        <v>1191</v>
      </c>
      <c r="N372">
        <v>1013</v>
      </c>
      <c r="O372" t="s">
        <v>796</v>
      </c>
      <c r="P372" t="s">
        <v>796</v>
      </c>
      <c r="Q372">
        <v>1</v>
      </c>
      <c r="X372">
        <v>13.64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2</v>
      </c>
      <c r="AF372" t="s">
        <v>53</v>
      </c>
      <c r="AG372">
        <v>20.46</v>
      </c>
      <c r="AH372">
        <v>2</v>
      </c>
      <c r="AI372">
        <v>39478598</v>
      </c>
      <c r="AJ372">
        <v>399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ROW(Source!A234)</f>
        <v>234</v>
      </c>
      <c r="B373">
        <v>39478599</v>
      </c>
      <c r="C373">
        <v>39478596</v>
      </c>
      <c r="D373">
        <v>36882057</v>
      </c>
      <c r="E373">
        <v>1</v>
      </c>
      <c r="F373">
        <v>1</v>
      </c>
      <c r="G373">
        <v>1</v>
      </c>
      <c r="H373">
        <v>2</v>
      </c>
      <c r="I373" t="s">
        <v>897</v>
      </c>
      <c r="J373" t="s">
        <v>898</v>
      </c>
      <c r="K373" t="s">
        <v>899</v>
      </c>
      <c r="L373">
        <v>1368</v>
      </c>
      <c r="N373">
        <v>1011</v>
      </c>
      <c r="O373" t="s">
        <v>802</v>
      </c>
      <c r="P373" t="s">
        <v>802</v>
      </c>
      <c r="Q373">
        <v>1</v>
      </c>
      <c r="X373">
        <v>0.05</v>
      </c>
      <c r="Y373">
        <v>0</v>
      </c>
      <c r="Z373">
        <v>86.4</v>
      </c>
      <c r="AA373">
        <v>13.5</v>
      </c>
      <c r="AB373">
        <v>0</v>
      </c>
      <c r="AC373">
        <v>0</v>
      </c>
      <c r="AD373">
        <v>1</v>
      </c>
      <c r="AE373">
        <v>0</v>
      </c>
      <c r="AF373" t="s">
        <v>53</v>
      </c>
      <c r="AG373">
        <v>7.4999999999999997E-2</v>
      </c>
      <c r="AH373">
        <v>2</v>
      </c>
      <c r="AI373">
        <v>39478599</v>
      </c>
      <c r="AJ373">
        <v>400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ROW(Source!A234)</f>
        <v>234</v>
      </c>
      <c r="B374">
        <v>39478600</v>
      </c>
      <c r="C374">
        <v>39478596</v>
      </c>
      <c r="D374">
        <v>36882159</v>
      </c>
      <c r="E374">
        <v>1</v>
      </c>
      <c r="F374">
        <v>1</v>
      </c>
      <c r="G374">
        <v>1</v>
      </c>
      <c r="H374">
        <v>2</v>
      </c>
      <c r="I374" t="s">
        <v>825</v>
      </c>
      <c r="J374" t="s">
        <v>826</v>
      </c>
      <c r="K374" t="s">
        <v>827</v>
      </c>
      <c r="L374">
        <v>1368</v>
      </c>
      <c r="N374">
        <v>1011</v>
      </c>
      <c r="O374" t="s">
        <v>802</v>
      </c>
      <c r="P374" t="s">
        <v>802</v>
      </c>
      <c r="Q374">
        <v>1</v>
      </c>
      <c r="X374">
        <v>0.03</v>
      </c>
      <c r="Y374">
        <v>0</v>
      </c>
      <c r="Z374">
        <v>111.99</v>
      </c>
      <c r="AA374">
        <v>13.5</v>
      </c>
      <c r="AB374">
        <v>0</v>
      </c>
      <c r="AC374">
        <v>0</v>
      </c>
      <c r="AD374">
        <v>1</v>
      </c>
      <c r="AE374">
        <v>0</v>
      </c>
      <c r="AF374" t="s">
        <v>53</v>
      </c>
      <c r="AG374">
        <v>4.4999999999999998E-2</v>
      </c>
      <c r="AH374">
        <v>2</v>
      </c>
      <c r="AI374">
        <v>39478600</v>
      </c>
      <c r="AJ374">
        <v>401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ROW(Source!A234)</f>
        <v>234</v>
      </c>
      <c r="B375">
        <v>39478601</v>
      </c>
      <c r="C375">
        <v>39478596</v>
      </c>
      <c r="D375">
        <v>36883554</v>
      </c>
      <c r="E375">
        <v>1</v>
      </c>
      <c r="F375">
        <v>1</v>
      </c>
      <c r="G375">
        <v>1</v>
      </c>
      <c r="H375">
        <v>2</v>
      </c>
      <c r="I375" t="s">
        <v>834</v>
      </c>
      <c r="J375" t="s">
        <v>835</v>
      </c>
      <c r="K375" t="s">
        <v>836</v>
      </c>
      <c r="L375">
        <v>1368</v>
      </c>
      <c r="N375">
        <v>1011</v>
      </c>
      <c r="O375" t="s">
        <v>802</v>
      </c>
      <c r="P375" t="s">
        <v>802</v>
      </c>
      <c r="Q375">
        <v>1</v>
      </c>
      <c r="X375">
        <v>0.22</v>
      </c>
      <c r="Y375">
        <v>0</v>
      </c>
      <c r="Z375">
        <v>65.709999999999994</v>
      </c>
      <c r="AA375">
        <v>11.6</v>
      </c>
      <c r="AB375">
        <v>0</v>
      </c>
      <c r="AC375">
        <v>0</v>
      </c>
      <c r="AD375">
        <v>1</v>
      </c>
      <c r="AE375">
        <v>0</v>
      </c>
      <c r="AF375" t="s">
        <v>53</v>
      </c>
      <c r="AG375">
        <v>0.33</v>
      </c>
      <c r="AH375">
        <v>2</v>
      </c>
      <c r="AI375">
        <v>39478601</v>
      </c>
      <c r="AJ375">
        <v>402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ROW(Source!A234)</f>
        <v>234</v>
      </c>
      <c r="B376">
        <v>39478602</v>
      </c>
      <c r="C376">
        <v>39478596</v>
      </c>
      <c r="D376">
        <v>36883772</v>
      </c>
      <c r="E376">
        <v>1</v>
      </c>
      <c r="F376">
        <v>1</v>
      </c>
      <c r="G376">
        <v>1</v>
      </c>
      <c r="H376">
        <v>2</v>
      </c>
      <c r="I376" t="s">
        <v>1179</v>
      </c>
      <c r="J376" t="s">
        <v>1180</v>
      </c>
      <c r="K376" t="s">
        <v>1181</v>
      </c>
      <c r="L376">
        <v>1368</v>
      </c>
      <c r="N376">
        <v>1011</v>
      </c>
      <c r="O376" t="s">
        <v>802</v>
      </c>
      <c r="P376" t="s">
        <v>802</v>
      </c>
      <c r="Q376">
        <v>1</v>
      </c>
      <c r="X376">
        <v>13.34</v>
      </c>
      <c r="Y376">
        <v>0</v>
      </c>
      <c r="Z376">
        <v>100.1</v>
      </c>
      <c r="AA376">
        <v>13.5</v>
      </c>
      <c r="AB376">
        <v>0</v>
      </c>
      <c r="AC376">
        <v>0</v>
      </c>
      <c r="AD376">
        <v>1</v>
      </c>
      <c r="AE376">
        <v>0</v>
      </c>
      <c r="AF376" t="s">
        <v>53</v>
      </c>
      <c r="AG376">
        <v>20.010000000000002</v>
      </c>
      <c r="AH376">
        <v>2</v>
      </c>
      <c r="AI376">
        <v>39478602</v>
      </c>
      <c r="AJ376">
        <v>403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ROW(Source!A234)</f>
        <v>234</v>
      </c>
      <c r="B377">
        <v>39478603</v>
      </c>
      <c r="C377">
        <v>39478596</v>
      </c>
      <c r="D377">
        <v>36800611</v>
      </c>
      <c r="E377">
        <v>1</v>
      </c>
      <c r="F377">
        <v>1</v>
      </c>
      <c r="G377">
        <v>1</v>
      </c>
      <c r="H377">
        <v>3</v>
      </c>
      <c r="I377" t="s">
        <v>1182</v>
      </c>
      <c r="J377" t="s">
        <v>1183</v>
      </c>
      <c r="K377" t="s">
        <v>1184</v>
      </c>
      <c r="L377">
        <v>1346</v>
      </c>
      <c r="N377">
        <v>1009</v>
      </c>
      <c r="O377" t="s">
        <v>217</v>
      </c>
      <c r="P377" t="s">
        <v>217</v>
      </c>
      <c r="Q377">
        <v>1</v>
      </c>
      <c r="X377">
        <v>0.25</v>
      </c>
      <c r="Y377">
        <v>11.8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0.25</v>
      </c>
      <c r="AH377">
        <v>2</v>
      </c>
      <c r="AI377">
        <v>39478603</v>
      </c>
      <c r="AJ377">
        <v>404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ROW(Source!A234)</f>
        <v>234</v>
      </c>
      <c r="B378">
        <v>39478604</v>
      </c>
      <c r="C378">
        <v>39478596</v>
      </c>
      <c r="D378">
        <v>36801792</v>
      </c>
      <c r="E378">
        <v>1</v>
      </c>
      <c r="F378">
        <v>1</v>
      </c>
      <c r="G378">
        <v>1</v>
      </c>
      <c r="H378">
        <v>3</v>
      </c>
      <c r="I378" t="s">
        <v>954</v>
      </c>
      <c r="J378" t="s">
        <v>955</v>
      </c>
      <c r="K378" t="s">
        <v>956</v>
      </c>
      <c r="L378">
        <v>1339</v>
      </c>
      <c r="N378">
        <v>1007</v>
      </c>
      <c r="O378" t="s">
        <v>25</v>
      </c>
      <c r="P378" t="s">
        <v>25</v>
      </c>
      <c r="Q378">
        <v>1</v>
      </c>
      <c r="X378">
        <v>0.47</v>
      </c>
      <c r="Y378">
        <v>2.44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0.47</v>
      </c>
      <c r="AH378">
        <v>2</v>
      </c>
      <c r="AI378">
        <v>39478604</v>
      </c>
      <c r="AJ378">
        <v>405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ROW(Source!A234)</f>
        <v>234</v>
      </c>
      <c r="B379">
        <v>39478605</v>
      </c>
      <c r="C379">
        <v>39478596</v>
      </c>
      <c r="D379">
        <v>36802293</v>
      </c>
      <c r="E379">
        <v>1</v>
      </c>
      <c r="F379">
        <v>1</v>
      </c>
      <c r="G379">
        <v>1</v>
      </c>
      <c r="H379">
        <v>3</v>
      </c>
      <c r="I379" t="s">
        <v>916</v>
      </c>
      <c r="J379" t="s">
        <v>917</v>
      </c>
      <c r="K379" t="s">
        <v>918</v>
      </c>
      <c r="L379">
        <v>1356</v>
      </c>
      <c r="N379">
        <v>1010</v>
      </c>
      <c r="O379" t="s">
        <v>259</v>
      </c>
      <c r="P379" t="s">
        <v>259</v>
      </c>
      <c r="Q379">
        <v>1000</v>
      </c>
      <c r="X379">
        <v>0.1</v>
      </c>
      <c r="Y379">
        <v>253.8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0.1</v>
      </c>
      <c r="AH379">
        <v>2</v>
      </c>
      <c r="AI379">
        <v>39478605</v>
      </c>
      <c r="AJ379">
        <v>406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ROW(Source!A234)</f>
        <v>234</v>
      </c>
      <c r="B380">
        <v>39478606</v>
      </c>
      <c r="C380">
        <v>39478596</v>
      </c>
      <c r="D380">
        <v>36804596</v>
      </c>
      <c r="E380">
        <v>1</v>
      </c>
      <c r="F380">
        <v>1</v>
      </c>
      <c r="G380">
        <v>1</v>
      </c>
      <c r="H380">
        <v>3</v>
      </c>
      <c r="I380" t="s">
        <v>922</v>
      </c>
      <c r="J380" t="s">
        <v>923</v>
      </c>
      <c r="K380" t="s">
        <v>924</v>
      </c>
      <c r="L380">
        <v>1348</v>
      </c>
      <c r="N380">
        <v>1009</v>
      </c>
      <c r="O380" t="s">
        <v>34</v>
      </c>
      <c r="P380" t="s">
        <v>34</v>
      </c>
      <c r="Q380">
        <v>1000</v>
      </c>
      <c r="X380">
        <v>8.4999999999999995E-4</v>
      </c>
      <c r="Y380">
        <v>22558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8.4999999999999995E-4</v>
      </c>
      <c r="AH380">
        <v>2</v>
      </c>
      <c r="AI380">
        <v>39478606</v>
      </c>
      <c r="AJ380">
        <v>407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ROW(Source!A234)</f>
        <v>234</v>
      </c>
      <c r="B381">
        <v>39478607</v>
      </c>
      <c r="C381">
        <v>39478596</v>
      </c>
      <c r="D381">
        <v>36806524</v>
      </c>
      <c r="E381">
        <v>1</v>
      </c>
      <c r="F381">
        <v>1</v>
      </c>
      <c r="G381">
        <v>1</v>
      </c>
      <c r="H381">
        <v>3</v>
      </c>
      <c r="I381" t="s">
        <v>1185</v>
      </c>
      <c r="J381" t="s">
        <v>1186</v>
      </c>
      <c r="K381" t="s">
        <v>1187</v>
      </c>
      <c r="L381">
        <v>1346</v>
      </c>
      <c r="N381">
        <v>1009</v>
      </c>
      <c r="O381" t="s">
        <v>217</v>
      </c>
      <c r="P381" t="s">
        <v>217</v>
      </c>
      <c r="Q381">
        <v>1</v>
      </c>
      <c r="X381">
        <v>1.6000000000000001E-3</v>
      </c>
      <c r="Y381">
        <v>2.15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1.6000000000000001E-3</v>
      </c>
      <c r="AH381">
        <v>2</v>
      </c>
      <c r="AI381">
        <v>39478607</v>
      </c>
      <c r="AJ381">
        <v>408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ROW(Source!A234)</f>
        <v>234</v>
      </c>
      <c r="B382">
        <v>39478608</v>
      </c>
      <c r="C382">
        <v>39478596</v>
      </c>
      <c r="D382">
        <v>36797668</v>
      </c>
      <c r="E382">
        <v>17</v>
      </c>
      <c r="F382">
        <v>1</v>
      </c>
      <c r="G382">
        <v>1</v>
      </c>
      <c r="H382">
        <v>3</v>
      </c>
      <c r="I382" t="s">
        <v>1253</v>
      </c>
      <c r="J382" t="s">
        <v>3</v>
      </c>
      <c r="K382" t="s">
        <v>1254</v>
      </c>
      <c r="L382">
        <v>1346</v>
      </c>
      <c r="N382">
        <v>1009</v>
      </c>
      <c r="O382" t="s">
        <v>217</v>
      </c>
      <c r="P382" t="s">
        <v>217</v>
      </c>
      <c r="Q382">
        <v>1</v>
      </c>
      <c r="X382">
        <v>0.55000000000000004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3</v>
      </c>
      <c r="AG382">
        <v>0.55000000000000004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ROW(Source!A234)</f>
        <v>234</v>
      </c>
      <c r="B383">
        <v>39478609</v>
      </c>
      <c r="C383">
        <v>39478596</v>
      </c>
      <c r="D383">
        <v>36836995</v>
      </c>
      <c r="E383">
        <v>1</v>
      </c>
      <c r="F383">
        <v>1</v>
      </c>
      <c r="G383">
        <v>1</v>
      </c>
      <c r="H383">
        <v>3</v>
      </c>
      <c r="I383" t="s">
        <v>1188</v>
      </c>
      <c r="J383" t="s">
        <v>1189</v>
      </c>
      <c r="K383" t="s">
        <v>1190</v>
      </c>
      <c r="L383">
        <v>1346</v>
      </c>
      <c r="N383">
        <v>1009</v>
      </c>
      <c r="O383" t="s">
        <v>217</v>
      </c>
      <c r="P383" t="s">
        <v>217</v>
      </c>
      <c r="Q383">
        <v>1</v>
      </c>
      <c r="X383">
        <v>0.25</v>
      </c>
      <c r="Y383">
        <v>28.93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3</v>
      </c>
      <c r="AG383">
        <v>0.25</v>
      </c>
      <c r="AH383">
        <v>2</v>
      </c>
      <c r="AI383">
        <v>39478609</v>
      </c>
      <c r="AJ383">
        <v>409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ROW(Source!A234)</f>
        <v>234</v>
      </c>
      <c r="B384">
        <v>39478610</v>
      </c>
      <c r="C384">
        <v>39478596</v>
      </c>
      <c r="D384">
        <v>36797634</v>
      </c>
      <c r="E384">
        <v>17</v>
      </c>
      <c r="F384">
        <v>1</v>
      </c>
      <c r="G384">
        <v>1</v>
      </c>
      <c r="H384">
        <v>3</v>
      </c>
      <c r="I384" t="s">
        <v>1255</v>
      </c>
      <c r="J384" t="s">
        <v>3</v>
      </c>
      <c r="K384" t="s">
        <v>1256</v>
      </c>
      <c r="L384">
        <v>1354</v>
      </c>
      <c r="N384">
        <v>1010</v>
      </c>
      <c r="O384" t="s">
        <v>415</v>
      </c>
      <c r="P384" t="s">
        <v>415</v>
      </c>
      <c r="Q384">
        <v>1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1</v>
      </c>
      <c r="AD384">
        <v>0</v>
      </c>
      <c r="AE384">
        <v>0</v>
      </c>
      <c r="AF384" t="s">
        <v>3</v>
      </c>
      <c r="AG384">
        <v>0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ROW(Source!A234)</f>
        <v>234</v>
      </c>
      <c r="B385">
        <v>39478611</v>
      </c>
      <c r="C385">
        <v>39478596</v>
      </c>
      <c r="D385">
        <v>36797622</v>
      </c>
      <c r="E385">
        <v>17</v>
      </c>
      <c r="F385">
        <v>1</v>
      </c>
      <c r="G385">
        <v>1</v>
      </c>
      <c r="H385">
        <v>3</v>
      </c>
      <c r="I385" t="s">
        <v>1257</v>
      </c>
      <c r="J385" t="s">
        <v>3</v>
      </c>
      <c r="K385" t="s">
        <v>1258</v>
      </c>
      <c r="L385">
        <v>1346</v>
      </c>
      <c r="N385">
        <v>1009</v>
      </c>
      <c r="O385" t="s">
        <v>217</v>
      </c>
      <c r="P385" t="s">
        <v>217</v>
      </c>
      <c r="Q385">
        <v>1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1</v>
      </c>
      <c r="AD385">
        <v>0</v>
      </c>
      <c r="AE385">
        <v>0</v>
      </c>
      <c r="AF385" t="s">
        <v>3</v>
      </c>
      <c r="AG385">
        <v>0</v>
      </c>
      <c r="AH385">
        <v>3</v>
      </c>
      <c r="AI385">
        <v>-1</v>
      </c>
      <c r="AJ385" t="s">
        <v>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ROW(Source!A234)</f>
        <v>234</v>
      </c>
      <c r="B386">
        <v>39478612</v>
      </c>
      <c r="C386">
        <v>39478596</v>
      </c>
      <c r="D386">
        <v>36797405</v>
      </c>
      <c r="E386">
        <v>17</v>
      </c>
      <c r="F386">
        <v>1</v>
      </c>
      <c r="G386">
        <v>1</v>
      </c>
      <c r="H386">
        <v>3</v>
      </c>
      <c r="I386" t="s">
        <v>538</v>
      </c>
      <c r="J386" t="s">
        <v>3</v>
      </c>
      <c r="K386" t="s">
        <v>539</v>
      </c>
      <c r="L386">
        <v>1301</v>
      </c>
      <c r="N386">
        <v>1003</v>
      </c>
      <c r="O386" t="s">
        <v>74</v>
      </c>
      <c r="P386" t="s">
        <v>74</v>
      </c>
      <c r="Q386">
        <v>1</v>
      </c>
      <c r="X386">
        <v>89.9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3</v>
      </c>
      <c r="AG386">
        <v>89.9</v>
      </c>
      <c r="AH386">
        <v>2</v>
      </c>
      <c r="AI386">
        <v>39478612</v>
      </c>
      <c r="AJ386">
        <v>414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ROW(Source!A234)</f>
        <v>234</v>
      </c>
      <c r="B387">
        <v>39478613</v>
      </c>
      <c r="C387">
        <v>39478596</v>
      </c>
      <c r="D387">
        <v>36797667</v>
      </c>
      <c r="E387">
        <v>17</v>
      </c>
      <c r="F387">
        <v>1</v>
      </c>
      <c r="G387">
        <v>1</v>
      </c>
      <c r="H387">
        <v>3</v>
      </c>
      <c r="I387" t="s">
        <v>1259</v>
      </c>
      <c r="J387" t="s">
        <v>3</v>
      </c>
      <c r="K387" t="s">
        <v>1260</v>
      </c>
      <c r="L387">
        <v>1354</v>
      </c>
      <c r="N387">
        <v>1010</v>
      </c>
      <c r="O387" t="s">
        <v>415</v>
      </c>
      <c r="P387" t="s">
        <v>415</v>
      </c>
      <c r="Q387">
        <v>1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1</v>
      </c>
      <c r="AD387">
        <v>0</v>
      </c>
      <c r="AE387">
        <v>0</v>
      </c>
      <c r="AF387" t="s">
        <v>3</v>
      </c>
      <c r="AG387">
        <v>0</v>
      </c>
      <c r="AH387">
        <v>3</v>
      </c>
      <c r="AI387">
        <v>-1</v>
      </c>
      <c r="AJ387" t="s">
        <v>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ROW(Source!A240)</f>
        <v>240</v>
      </c>
      <c r="B388">
        <v>39478629</v>
      </c>
      <c r="C388">
        <v>39478628</v>
      </c>
      <c r="D388">
        <v>37071037</v>
      </c>
      <c r="E388">
        <v>1</v>
      </c>
      <c r="F388">
        <v>1</v>
      </c>
      <c r="G388">
        <v>1</v>
      </c>
      <c r="H388">
        <v>1</v>
      </c>
      <c r="I388" t="s">
        <v>992</v>
      </c>
      <c r="J388" t="s">
        <v>3</v>
      </c>
      <c r="K388" t="s">
        <v>993</v>
      </c>
      <c r="L388">
        <v>1191</v>
      </c>
      <c r="N388">
        <v>1013</v>
      </c>
      <c r="O388" t="s">
        <v>796</v>
      </c>
      <c r="P388" t="s">
        <v>796</v>
      </c>
      <c r="Q388">
        <v>1</v>
      </c>
      <c r="X388">
        <v>7.48</v>
      </c>
      <c r="Y388">
        <v>0</v>
      </c>
      <c r="Z388">
        <v>0</v>
      </c>
      <c r="AA388">
        <v>0</v>
      </c>
      <c r="AB388">
        <v>9.6199999999999992</v>
      </c>
      <c r="AC388">
        <v>0</v>
      </c>
      <c r="AD388">
        <v>1</v>
      </c>
      <c r="AE388">
        <v>1</v>
      </c>
      <c r="AF388" t="s">
        <v>54</v>
      </c>
      <c r="AG388">
        <v>10.3224</v>
      </c>
      <c r="AH388">
        <v>2</v>
      </c>
      <c r="AI388">
        <v>39478629</v>
      </c>
      <c r="AJ388">
        <v>415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ROW(Source!A240)</f>
        <v>240</v>
      </c>
      <c r="B389">
        <v>39478630</v>
      </c>
      <c r="C389">
        <v>39478628</v>
      </c>
      <c r="D389">
        <v>37064876</v>
      </c>
      <c r="E389">
        <v>1</v>
      </c>
      <c r="F389">
        <v>1</v>
      </c>
      <c r="G389">
        <v>1</v>
      </c>
      <c r="H389">
        <v>1</v>
      </c>
      <c r="I389" t="s">
        <v>797</v>
      </c>
      <c r="J389" t="s">
        <v>3</v>
      </c>
      <c r="K389" t="s">
        <v>798</v>
      </c>
      <c r="L389">
        <v>1191</v>
      </c>
      <c r="N389">
        <v>1013</v>
      </c>
      <c r="O389" t="s">
        <v>796</v>
      </c>
      <c r="P389" t="s">
        <v>796</v>
      </c>
      <c r="Q389">
        <v>1</v>
      </c>
      <c r="X389">
        <v>0.04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2</v>
      </c>
      <c r="AF389" t="s">
        <v>53</v>
      </c>
      <c r="AG389">
        <v>0.06</v>
      </c>
      <c r="AH389">
        <v>2</v>
      </c>
      <c r="AI389">
        <v>39478630</v>
      </c>
      <c r="AJ389">
        <v>416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ROW(Source!A240)</f>
        <v>240</v>
      </c>
      <c r="B390">
        <v>39478631</v>
      </c>
      <c r="C390">
        <v>39478628</v>
      </c>
      <c r="D390">
        <v>36882159</v>
      </c>
      <c r="E390">
        <v>1</v>
      </c>
      <c r="F390">
        <v>1</v>
      </c>
      <c r="G390">
        <v>1</v>
      </c>
      <c r="H390">
        <v>2</v>
      </c>
      <c r="I390" t="s">
        <v>825</v>
      </c>
      <c r="J390" t="s">
        <v>826</v>
      </c>
      <c r="K390" t="s">
        <v>827</v>
      </c>
      <c r="L390">
        <v>1368</v>
      </c>
      <c r="N390">
        <v>1011</v>
      </c>
      <c r="O390" t="s">
        <v>802</v>
      </c>
      <c r="P390" t="s">
        <v>802</v>
      </c>
      <c r="Q390">
        <v>1</v>
      </c>
      <c r="X390">
        <v>0.02</v>
      </c>
      <c r="Y390">
        <v>0</v>
      </c>
      <c r="Z390">
        <v>111.99</v>
      </c>
      <c r="AA390">
        <v>13.5</v>
      </c>
      <c r="AB390">
        <v>0</v>
      </c>
      <c r="AC390">
        <v>0</v>
      </c>
      <c r="AD390">
        <v>1</v>
      </c>
      <c r="AE390">
        <v>0</v>
      </c>
      <c r="AF390" t="s">
        <v>53</v>
      </c>
      <c r="AG390">
        <v>0.03</v>
      </c>
      <c r="AH390">
        <v>2</v>
      </c>
      <c r="AI390">
        <v>39478631</v>
      </c>
      <c r="AJ390">
        <v>417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ROW(Source!A240)</f>
        <v>240</v>
      </c>
      <c r="B391">
        <v>39478632</v>
      </c>
      <c r="C391">
        <v>39478628</v>
      </c>
      <c r="D391">
        <v>36883554</v>
      </c>
      <c r="E391">
        <v>1</v>
      </c>
      <c r="F391">
        <v>1</v>
      </c>
      <c r="G391">
        <v>1</v>
      </c>
      <c r="H391">
        <v>2</v>
      </c>
      <c r="I391" t="s">
        <v>834</v>
      </c>
      <c r="J391" t="s">
        <v>835</v>
      </c>
      <c r="K391" t="s">
        <v>836</v>
      </c>
      <c r="L391">
        <v>1368</v>
      </c>
      <c r="N391">
        <v>1011</v>
      </c>
      <c r="O391" t="s">
        <v>802</v>
      </c>
      <c r="P391" t="s">
        <v>802</v>
      </c>
      <c r="Q391">
        <v>1</v>
      </c>
      <c r="X391">
        <v>0.02</v>
      </c>
      <c r="Y391">
        <v>0</v>
      </c>
      <c r="Z391">
        <v>65.709999999999994</v>
      </c>
      <c r="AA391">
        <v>11.6</v>
      </c>
      <c r="AB391">
        <v>0</v>
      </c>
      <c r="AC391">
        <v>0</v>
      </c>
      <c r="AD391">
        <v>1</v>
      </c>
      <c r="AE391">
        <v>0</v>
      </c>
      <c r="AF391" t="s">
        <v>53</v>
      </c>
      <c r="AG391">
        <v>0.03</v>
      </c>
      <c r="AH391">
        <v>2</v>
      </c>
      <c r="AI391">
        <v>39478632</v>
      </c>
      <c r="AJ391">
        <v>418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ROW(Source!A240)</f>
        <v>240</v>
      </c>
      <c r="B392">
        <v>39478633</v>
      </c>
      <c r="C392">
        <v>39478628</v>
      </c>
      <c r="D392">
        <v>36883858</v>
      </c>
      <c r="E392">
        <v>1</v>
      </c>
      <c r="F392">
        <v>1</v>
      </c>
      <c r="G392">
        <v>1</v>
      </c>
      <c r="H392">
        <v>2</v>
      </c>
      <c r="I392" t="s">
        <v>1139</v>
      </c>
      <c r="J392" t="s">
        <v>1140</v>
      </c>
      <c r="K392" t="s">
        <v>1141</v>
      </c>
      <c r="L392">
        <v>1368</v>
      </c>
      <c r="N392">
        <v>1011</v>
      </c>
      <c r="O392" t="s">
        <v>802</v>
      </c>
      <c r="P392" t="s">
        <v>802</v>
      </c>
      <c r="Q392">
        <v>1</v>
      </c>
      <c r="X392">
        <v>0.31</v>
      </c>
      <c r="Y392">
        <v>0</v>
      </c>
      <c r="Z392">
        <v>8.1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53</v>
      </c>
      <c r="AG392">
        <v>0.46499999999999997</v>
      </c>
      <c r="AH392">
        <v>2</v>
      </c>
      <c r="AI392">
        <v>39478633</v>
      </c>
      <c r="AJ392">
        <v>419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ROW(Source!A240)</f>
        <v>240</v>
      </c>
      <c r="B393">
        <v>39478634</v>
      </c>
      <c r="C393">
        <v>39478628</v>
      </c>
      <c r="D393">
        <v>36803269</v>
      </c>
      <c r="E393">
        <v>1</v>
      </c>
      <c r="F393">
        <v>1</v>
      </c>
      <c r="G393">
        <v>1</v>
      </c>
      <c r="H393">
        <v>3</v>
      </c>
      <c r="I393" t="s">
        <v>1191</v>
      </c>
      <c r="J393" t="s">
        <v>1192</v>
      </c>
      <c r="K393" t="s">
        <v>1193</v>
      </c>
      <c r="L393">
        <v>1348</v>
      </c>
      <c r="N393">
        <v>1009</v>
      </c>
      <c r="O393" t="s">
        <v>34</v>
      </c>
      <c r="P393" t="s">
        <v>34</v>
      </c>
      <c r="Q393">
        <v>1000</v>
      </c>
      <c r="X393">
        <v>1.8000000000000001E-4</v>
      </c>
      <c r="Y393">
        <v>10362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1.8000000000000001E-4</v>
      </c>
      <c r="AH393">
        <v>2</v>
      </c>
      <c r="AI393">
        <v>39478634</v>
      </c>
      <c r="AJ393">
        <v>420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ROW(Source!A240)</f>
        <v>240</v>
      </c>
      <c r="B394">
        <v>39478635</v>
      </c>
      <c r="C394">
        <v>39478628</v>
      </c>
      <c r="D394">
        <v>36807340</v>
      </c>
      <c r="E394">
        <v>1</v>
      </c>
      <c r="F394">
        <v>1</v>
      </c>
      <c r="G394">
        <v>1</v>
      </c>
      <c r="H394">
        <v>3</v>
      </c>
      <c r="I394" t="s">
        <v>1194</v>
      </c>
      <c r="J394" t="s">
        <v>1195</v>
      </c>
      <c r="K394" t="s">
        <v>1196</v>
      </c>
      <c r="L394">
        <v>1339</v>
      </c>
      <c r="N394">
        <v>1007</v>
      </c>
      <c r="O394" t="s">
        <v>25</v>
      </c>
      <c r="P394" t="s">
        <v>25</v>
      </c>
      <c r="Q394">
        <v>1</v>
      </c>
      <c r="X394">
        <v>5.0000000000000001E-3</v>
      </c>
      <c r="Y394">
        <v>485.9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5.0000000000000001E-3</v>
      </c>
      <c r="AH394">
        <v>2</v>
      </c>
      <c r="AI394">
        <v>39478635</v>
      </c>
      <c r="AJ394">
        <v>421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ROW(Source!A240)</f>
        <v>240</v>
      </c>
      <c r="B395">
        <v>39478636</v>
      </c>
      <c r="C395">
        <v>39478628</v>
      </c>
      <c r="D395">
        <v>36797768</v>
      </c>
      <c r="E395">
        <v>17</v>
      </c>
      <c r="F395">
        <v>1</v>
      </c>
      <c r="G395">
        <v>1</v>
      </c>
      <c r="H395">
        <v>3</v>
      </c>
      <c r="I395" t="s">
        <v>1261</v>
      </c>
      <c r="J395" t="s">
        <v>3</v>
      </c>
      <c r="K395" t="s">
        <v>1262</v>
      </c>
      <c r="L395">
        <v>1035</v>
      </c>
      <c r="N395">
        <v>1013</v>
      </c>
      <c r="O395" t="s">
        <v>152</v>
      </c>
      <c r="P395" t="s">
        <v>152</v>
      </c>
      <c r="Q395">
        <v>1</v>
      </c>
      <c r="X395">
        <v>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 t="s">
        <v>3</v>
      </c>
      <c r="AG395">
        <v>1</v>
      </c>
      <c r="AH395">
        <v>3</v>
      </c>
      <c r="AI395">
        <v>-1</v>
      </c>
      <c r="AJ395" t="s">
        <v>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ROW(Source!A242)</f>
        <v>242</v>
      </c>
      <c r="B396">
        <v>39478644</v>
      </c>
      <c r="C396">
        <v>39478643</v>
      </c>
      <c r="D396">
        <v>37064878</v>
      </c>
      <c r="E396">
        <v>1</v>
      </c>
      <c r="F396">
        <v>1</v>
      </c>
      <c r="G396">
        <v>1</v>
      </c>
      <c r="H396">
        <v>1</v>
      </c>
      <c r="I396" t="s">
        <v>820</v>
      </c>
      <c r="J396" t="s">
        <v>3</v>
      </c>
      <c r="K396" t="s">
        <v>821</v>
      </c>
      <c r="L396">
        <v>1191</v>
      </c>
      <c r="N396">
        <v>1013</v>
      </c>
      <c r="O396" t="s">
        <v>796</v>
      </c>
      <c r="P396" t="s">
        <v>796</v>
      </c>
      <c r="Q396">
        <v>1</v>
      </c>
      <c r="X396">
        <v>8.18</v>
      </c>
      <c r="Y396">
        <v>0</v>
      </c>
      <c r="Z396">
        <v>0</v>
      </c>
      <c r="AA396">
        <v>0</v>
      </c>
      <c r="AB396">
        <v>9.4</v>
      </c>
      <c r="AC396">
        <v>0</v>
      </c>
      <c r="AD396">
        <v>1</v>
      </c>
      <c r="AE396">
        <v>1</v>
      </c>
      <c r="AF396" t="s">
        <v>54</v>
      </c>
      <c r="AG396">
        <v>11.288399999999998</v>
      </c>
      <c r="AH396">
        <v>2</v>
      </c>
      <c r="AI396">
        <v>39478644</v>
      </c>
      <c r="AJ396">
        <v>423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ROW(Source!A242)</f>
        <v>242</v>
      </c>
      <c r="B397">
        <v>39478645</v>
      </c>
      <c r="C397">
        <v>39478643</v>
      </c>
      <c r="D397">
        <v>37064876</v>
      </c>
      <c r="E397">
        <v>1</v>
      </c>
      <c r="F397">
        <v>1</v>
      </c>
      <c r="G397">
        <v>1</v>
      </c>
      <c r="H397">
        <v>1</v>
      </c>
      <c r="I397" t="s">
        <v>797</v>
      </c>
      <c r="J397" t="s">
        <v>3</v>
      </c>
      <c r="K397" t="s">
        <v>798</v>
      </c>
      <c r="L397">
        <v>1191</v>
      </c>
      <c r="N397">
        <v>1013</v>
      </c>
      <c r="O397" t="s">
        <v>796</v>
      </c>
      <c r="P397" t="s">
        <v>796</v>
      </c>
      <c r="Q397">
        <v>1</v>
      </c>
      <c r="X397">
        <v>0.36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2</v>
      </c>
      <c r="AF397" t="s">
        <v>53</v>
      </c>
      <c r="AG397">
        <v>0.53999999999999992</v>
      </c>
      <c r="AH397">
        <v>2</v>
      </c>
      <c r="AI397">
        <v>39478645</v>
      </c>
      <c r="AJ397">
        <v>424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ROW(Source!A242)</f>
        <v>242</v>
      </c>
      <c r="B398">
        <v>39478646</v>
      </c>
      <c r="C398">
        <v>39478643</v>
      </c>
      <c r="D398">
        <v>36882159</v>
      </c>
      <c r="E398">
        <v>1</v>
      </c>
      <c r="F398">
        <v>1</v>
      </c>
      <c r="G398">
        <v>1</v>
      </c>
      <c r="H398">
        <v>2</v>
      </c>
      <c r="I398" t="s">
        <v>825</v>
      </c>
      <c r="J398" t="s">
        <v>826</v>
      </c>
      <c r="K398" t="s">
        <v>827</v>
      </c>
      <c r="L398">
        <v>1368</v>
      </c>
      <c r="N398">
        <v>1011</v>
      </c>
      <c r="O398" t="s">
        <v>802</v>
      </c>
      <c r="P398" t="s">
        <v>802</v>
      </c>
      <c r="Q398">
        <v>1</v>
      </c>
      <c r="X398">
        <v>0.01</v>
      </c>
      <c r="Y398">
        <v>0</v>
      </c>
      <c r="Z398">
        <v>111.99</v>
      </c>
      <c r="AA398">
        <v>13.5</v>
      </c>
      <c r="AB398">
        <v>0</v>
      </c>
      <c r="AC398">
        <v>0</v>
      </c>
      <c r="AD398">
        <v>1</v>
      </c>
      <c r="AE398">
        <v>0</v>
      </c>
      <c r="AF398" t="s">
        <v>53</v>
      </c>
      <c r="AG398">
        <v>1.4999999999999999E-2</v>
      </c>
      <c r="AH398">
        <v>2</v>
      </c>
      <c r="AI398">
        <v>39478646</v>
      </c>
      <c r="AJ398">
        <v>425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ROW(Source!A242)</f>
        <v>242</v>
      </c>
      <c r="B399">
        <v>39478647</v>
      </c>
      <c r="C399">
        <v>39478643</v>
      </c>
      <c r="D399">
        <v>36883554</v>
      </c>
      <c r="E399">
        <v>1</v>
      </c>
      <c r="F399">
        <v>1</v>
      </c>
      <c r="G399">
        <v>1</v>
      </c>
      <c r="H399">
        <v>2</v>
      </c>
      <c r="I399" t="s">
        <v>834</v>
      </c>
      <c r="J399" t="s">
        <v>835</v>
      </c>
      <c r="K399" t="s">
        <v>836</v>
      </c>
      <c r="L399">
        <v>1368</v>
      </c>
      <c r="N399">
        <v>1011</v>
      </c>
      <c r="O399" t="s">
        <v>802</v>
      </c>
      <c r="P399" t="s">
        <v>802</v>
      </c>
      <c r="Q399">
        <v>1</v>
      </c>
      <c r="X399">
        <v>0.35</v>
      </c>
      <c r="Y399">
        <v>0</v>
      </c>
      <c r="Z399">
        <v>65.709999999999994</v>
      </c>
      <c r="AA399">
        <v>11.6</v>
      </c>
      <c r="AB399">
        <v>0</v>
      </c>
      <c r="AC399">
        <v>0</v>
      </c>
      <c r="AD399">
        <v>1</v>
      </c>
      <c r="AE399">
        <v>0</v>
      </c>
      <c r="AF399" t="s">
        <v>53</v>
      </c>
      <c r="AG399">
        <v>0.52500000000000002</v>
      </c>
      <c r="AH399">
        <v>2</v>
      </c>
      <c r="AI399">
        <v>39478647</v>
      </c>
      <c r="AJ399">
        <v>426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ROW(Source!A242)</f>
        <v>242</v>
      </c>
      <c r="B400">
        <v>39478648</v>
      </c>
      <c r="C400">
        <v>39478643</v>
      </c>
      <c r="D400">
        <v>36883858</v>
      </c>
      <c r="E400">
        <v>1</v>
      </c>
      <c r="F400">
        <v>1</v>
      </c>
      <c r="G400">
        <v>1</v>
      </c>
      <c r="H400">
        <v>2</v>
      </c>
      <c r="I400" t="s">
        <v>1139</v>
      </c>
      <c r="J400" t="s">
        <v>1140</v>
      </c>
      <c r="K400" t="s">
        <v>1141</v>
      </c>
      <c r="L400">
        <v>1368</v>
      </c>
      <c r="N400">
        <v>1011</v>
      </c>
      <c r="O400" t="s">
        <v>802</v>
      </c>
      <c r="P400" t="s">
        <v>802</v>
      </c>
      <c r="Q400">
        <v>1</v>
      </c>
      <c r="X400">
        <v>2.78</v>
      </c>
      <c r="Y400">
        <v>0</v>
      </c>
      <c r="Z400">
        <v>8.1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53</v>
      </c>
      <c r="AG400">
        <v>4.169999999999999</v>
      </c>
      <c r="AH400">
        <v>2</v>
      </c>
      <c r="AI400">
        <v>39478648</v>
      </c>
      <c r="AJ400">
        <v>427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ROW(Source!A242)</f>
        <v>242</v>
      </c>
      <c r="B401">
        <v>39478649</v>
      </c>
      <c r="C401">
        <v>39478643</v>
      </c>
      <c r="D401">
        <v>36803269</v>
      </c>
      <c r="E401">
        <v>1</v>
      </c>
      <c r="F401">
        <v>1</v>
      </c>
      <c r="G401">
        <v>1</v>
      </c>
      <c r="H401">
        <v>3</v>
      </c>
      <c r="I401" t="s">
        <v>1191</v>
      </c>
      <c r="J401" t="s">
        <v>1192</v>
      </c>
      <c r="K401" t="s">
        <v>1193</v>
      </c>
      <c r="L401">
        <v>1348</v>
      </c>
      <c r="N401">
        <v>1009</v>
      </c>
      <c r="O401" t="s">
        <v>34</v>
      </c>
      <c r="P401" t="s">
        <v>34</v>
      </c>
      <c r="Q401">
        <v>1000</v>
      </c>
      <c r="X401">
        <v>6.9999999999999999E-4</v>
      </c>
      <c r="Y401">
        <v>10362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6.9999999999999999E-4</v>
      </c>
      <c r="AH401">
        <v>2</v>
      </c>
      <c r="AI401">
        <v>39478649</v>
      </c>
      <c r="AJ401">
        <v>428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ROW(Source!A242)</f>
        <v>242</v>
      </c>
      <c r="B402">
        <v>39478650</v>
      </c>
      <c r="C402">
        <v>39478643</v>
      </c>
      <c r="D402">
        <v>36797778</v>
      </c>
      <c r="E402">
        <v>17</v>
      </c>
      <c r="F402">
        <v>1</v>
      </c>
      <c r="G402">
        <v>1</v>
      </c>
      <c r="H402">
        <v>3</v>
      </c>
      <c r="I402" t="s">
        <v>560</v>
      </c>
      <c r="J402" t="s">
        <v>3</v>
      </c>
      <c r="K402" t="s">
        <v>561</v>
      </c>
      <c r="L402">
        <v>1354</v>
      </c>
      <c r="N402">
        <v>1010</v>
      </c>
      <c r="O402" t="s">
        <v>415</v>
      </c>
      <c r="P402" t="s">
        <v>415</v>
      </c>
      <c r="Q402">
        <v>1</v>
      </c>
      <c r="X402">
        <v>10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 t="s">
        <v>3</v>
      </c>
      <c r="AG402">
        <v>10</v>
      </c>
      <c r="AH402">
        <v>2</v>
      </c>
      <c r="AI402">
        <v>39478650</v>
      </c>
      <c r="AJ402">
        <v>430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ROW(Source!A245)</f>
        <v>245</v>
      </c>
      <c r="B403">
        <v>39478655</v>
      </c>
      <c r="C403">
        <v>39478654</v>
      </c>
      <c r="D403">
        <v>37071037</v>
      </c>
      <c r="E403">
        <v>1</v>
      </c>
      <c r="F403">
        <v>1</v>
      </c>
      <c r="G403">
        <v>1</v>
      </c>
      <c r="H403">
        <v>1</v>
      </c>
      <c r="I403" t="s">
        <v>992</v>
      </c>
      <c r="J403" t="s">
        <v>3</v>
      </c>
      <c r="K403" t="s">
        <v>993</v>
      </c>
      <c r="L403">
        <v>1191</v>
      </c>
      <c r="N403">
        <v>1013</v>
      </c>
      <c r="O403" t="s">
        <v>796</v>
      </c>
      <c r="P403" t="s">
        <v>796</v>
      </c>
      <c r="Q403">
        <v>1</v>
      </c>
      <c r="X403">
        <v>7</v>
      </c>
      <c r="Y403">
        <v>0</v>
      </c>
      <c r="Z403">
        <v>0</v>
      </c>
      <c r="AA403">
        <v>0</v>
      </c>
      <c r="AB403">
        <v>9.6199999999999992</v>
      </c>
      <c r="AC403">
        <v>0</v>
      </c>
      <c r="AD403">
        <v>1</v>
      </c>
      <c r="AE403">
        <v>1</v>
      </c>
      <c r="AF403" t="s">
        <v>567</v>
      </c>
      <c r="AG403">
        <v>9.66</v>
      </c>
      <c r="AH403">
        <v>2</v>
      </c>
      <c r="AI403">
        <v>39478655</v>
      </c>
      <c r="AJ403">
        <v>431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ROW(Source!A245)</f>
        <v>245</v>
      </c>
      <c r="B404">
        <v>39478656</v>
      </c>
      <c r="C404">
        <v>39478654</v>
      </c>
      <c r="D404">
        <v>36802469</v>
      </c>
      <c r="E404">
        <v>1</v>
      </c>
      <c r="F404">
        <v>1</v>
      </c>
      <c r="G404">
        <v>1</v>
      </c>
      <c r="H404">
        <v>3</v>
      </c>
      <c r="I404" t="s">
        <v>1197</v>
      </c>
      <c r="J404" t="s">
        <v>1198</v>
      </c>
      <c r="K404" t="s">
        <v>1199</v>
      </c>
      <c r="L404">
        <v>1346</v>
      </c>
      <c r="N404">
        <v>1009</v>
      </c>
      <c r="O404" t="s">
        <v>217</v>
      </c>
      <c r="P404" t="s">
        <v>217</v>
      </c>
      <c r="Q404">
        <v>1</v>
      </c>
      <c r="X404">
        <v>0.13</v>
      </c>
      <c r="Y404">
        <v>37.29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0.13</v>
      </c>
      <c r="AH404">
        <v>2</v>
      </c>
      <c r="AI404">
        <v>39478656</v>
      </c>
      <c r="AJ404">
        <v>432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ROW(Source!A245)</f>
        <v>245</v>
      </c>
      <c r="B405">
        <v>39478657</v>
      </c>
      <c r="C405">
        <v>39478654</v>
      </c>
      <c r="D405">
        <v>36797518</v>
      </c>
      <c r="E405">
        <v>17</v>
      </c>
      <c r="F405">
        <v>1</v>
      </c>
      <c r="G405">
        <v>1</v>
      </c>
      <c r="H405">
        <v>3</v>
      </c>
      <c r="I405" t="s">
        <v>592</v>
      </c>
      <c r="J405" t="s">
        <v>3</v>
      </c>
      <c r="K405" t="s">
        <v>593</v>
      </c>
      <c r="L405">
        <v>1358</v>
      </c>
      <c r="N405">
        <v>1010</v>
      </c>
      <c r="O405" t="s">
        <v>160</v>
      </c>
      <c r="P405" t="s">
        <v>160</v>
      </c>
      <c r="Q405">
        <v>10</v>
      </c>
      <c r="X405">
        <v>2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 t="s">
        <v>3</v>
      </c>
      <c r="AG405">
        <v>2</v>
      </c>
      <c r="AH405">
        <v>2</v>
      </c>
      <c r="AI405">
        <v>39478657</v>
      </c>
      <c r="AJ405">
        <v>433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ROW(Source!A245)</f>
        <v>245</v>
      </c>
      <c r="B406">
        <v>39478658</v>
      </c>
      <c r="C406">
        <v>39478654</v>
      </c>
      <c r="D406">
        <v>36796579</v>
      </c>
      <c r="E406">
        <v>17</v>
      </c>
      <c r="F406">
        <v>1</v>
      </c>
      <c r="G406">
        <v>1</v>
      </c>
      <c r="H406">
        <v>3</v>
      </c>
      <c r="I406" t="s">
        <v>618</v>
      </c>
      <c r="J406" t="s">
        <v>3</v>
      </c>
      <c r="K406" t="s">
        <v>619</v>
      </c>
      <c r="L406">
        <v>1348</v>
      </c>
      <c r="N406">
        <v>1009</v>
      </c>
      <c r="O406" t="s">
        <v>34</v>
      </c>
      <c r="P406" t="s">
        <v>34</v>
      </c>
      <c r="Q406">
        <v>1000</v>
      </c>
      <c r="X406">
        <v>1E-4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 t="s">
        <v>3</v>
      </c>
      <c r="AG406">
        <v>1E-4</v>
      </c>
      <c r="AH406">
        <v>3</v>
      </c>
      <c r="AI406">
        <v>-1</v>
      </c>
      <c r="AJ406" t="s">
        <v>3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ROW(Source!A245)</f>
        <v>245</v>
      </c>
      <c r="B407">
        <v>39478659</v>
      </c>
      <c r="C407">
        <v>39478654</v>
      </c>
      <c r="D407">
        <v>36838223</v>
      </c>
      <c r="E407">
        <v>1</v>
      </c>
      <c r="F407">
        <v>1</v>
      </c>
      <c r="G407">
        <v>1</v>
      </c>
      <c r="H407">
        <v>3</v>
      </c>
      <c r="I407" t="s">
        <v>1200</v>
      </c>
      <c r="J407" t="s">
        <v>1201</v>
      </c>
      <c r="K407" t="s">
        <v>1202</v>
      </c>
      <c r="L407">
        <v>1348</v>
      </c>
      <c r="N407">
        <v>1009</v>
      </c>
      <c r="O407" t="s">
        <v>34</v>
      </c>
      <c r="P407" t="s">
        <v>34</v>
      </c>
      <c r="Q407">
        <v>1000</v>
      </c>
      <c r="X407">
        <v>2.5999999999999998E-4</v>
      </c>
      <c r="Y407">
        <v>15119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2.5999999999999998E-4</v>
      </c>
      <c r="AH407">
        <v>2</v>
      </c>
      <c r="AI407">
        <v>39478659</v>
      </c>
      <c r="AJ407">
        <v>435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ROW(Source!A245)</f>
        <v>245</v>
      </c>
      <c r="B408">
        <v>39478660</v>
      </c>
      <c r="C408">
        <v>39478654</v>
      </c>
      <c r="D408">
        <v>36838951</v>
      </c>
      <c r="E408">
        <v>1</v>
      </c>
      <c r="F408">
        <v>1</v>
      </c>
      <c r="G408">
        <v>1</v>
      </c>
      <c r="H408">
        <v>3</v>
      </c>
      <c r="I408" t="s">
        <v>1203</v>
      </c>
      <c r="J408" t="s">
        <v>1204</v>
      </c>
      <c r="K408" t="s">
        <v>1205</v>
      </c>
      <c r="L408">
        <v>1348</v>
      </c>
      <c r="N408">
        <v>1009</v>
      </c>
      <c r="O408" t="s">
        <v>34</v>
      </c>
      <c r="P408" t="s">
        <v>34</v>
      </c>
      <c r="Q408">
        <v>1000</v>
      </c>
      <c r="X408">
        <v>1.2999999999999999E-4</v>
      </c>
      <c r="Y408">
        <v>16950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1.2999999999999999E-4</v>
      </c>
      <c r="AH408">
        <v>2</v>
      </c>
      <c r="AI408">
        <v>39478660</v>
      </c>
      <c r="AJ408">
        <v>436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ROW(Source!A245)</f>
        <v>245</v>
      </c>
      <c r="B409">
        <v>39478661</v>
      </c>
      <c r="C409">
        <v>39478654</v>
      </c>
      <c r="D409">
        <v>36797714</v>
      </c>
      <c r="E409">
        <v>17</v>
      </c>
      <c r="F409">
        <v>1</v>
      </c>
      <c r="G409">
        <v>1</v>
      </c>
      <c r="H409">
        <v>3</v>
      </c>
      <c r="I409" t="s">
        <v>595</v>
      </c>
      <c r="J409" t="s">
        <v>3</v>
      </c>
      <c r="K409" t="s">
        <v>596</v>
      </c>
      <c r="L409">
        <v>1354</v>
      </c>
      <c r="N409">
        <v>1010</v>
      </c>
      <c r="O409" t="s">
        <v>415</v>
      </c>
      <c r="P409" t="s">
        <v>415</v>
      </c>
      <c r="Q409">
        <v>1</v>
      </c>
      <c r="X409">
        <v>10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 t="s">
        <v>3</v>
      </c>
      <c r="AG409">
        <v>10</v>
      </c>
      <c r="AH409">
        <v>2</v>
      </c>
      <c r="AI409">
        <v>39478661</v>
      </c>
      <c r="AJ409">
        <v>437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ROW(Source!A253)</f>
        <v>253</v>
      </c>
      <c r="B410">
        <v>39478680</v>
      </c>
      <c r="C410">
        <v>39478679</v>
      </c>
      <c r="D410">
        <v>37070244</v>
      </c>
      <c r="E410">
        <v>1</v>
      </c>
      <c r="F410">
        <v>1</v>
      </c>
      <c r="G410">
        <v>1</v>
      </c>
      <c r="H410">
        <v>1</v>
      </c>
      <c r="I410" t="s">
        <v>1206</v>
      </c>
      <c r="J410" t="s">
        <v>3</v>
      </c>
      <c r="K410" t="s">
        <v>1207</v>
      </c>
      <c r="L410">
        <v>1191</v>
      </c>
      <c r="N410">
        <v>1013</v>
      </c>
      <c r="O410" t="s">
        <v>796</v>
      </c>
      <c r="P410" t="s">
        <v>796</v>
      </c>
      <c r="Q410">
        <v>1</v>
      </c>
      <c r="X410">
        <v>2.09</v>
      </c>
      <c r="Y410">
        <v>0</v>
      </c>
      <c r="Z410">
        <v>0</v>
      </c>
      <c r="AA410">
        <v>0</v>
      </c>
      <c r="AB410">
        <v>10.35</v>
      </c>
      <c r="AC410">
        <v>0</v>
      </c>
      <c r="AD410">
        <v>1</v>
      </c>
      <c r="AE410">
        <v>1</v>
      </c>
      <c r="AF410" t="s">
        <v>3</v>
      </c>
      <c r="AG410">
        <v>2.09</v>
      </c>
      <c r="AH410">
        <v>2</v>
      </c>
      <c r="AI410">
        <v>39478680</v>
      </c>
      <c r="AJ410">
        <v>442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ROW(Source!A253)</f>
        <v>253</v>
      </c>
      <c r="B411">
        <v>39478681</v>
      </c>
      <c r="C411">
        <v>39478679</v>
      </c>
      <c r="D411">
        <v>36883858</v>
      </c>
      <c r="E411">
        <v>1</v>
      </c>
      <c r="F411">
        <v>1</v>
      </c>
      <c r="G411">
        <v>1</v>
      </c>
      <c r="H411">
        <v>2</v>
      </c>
      <c r="I411" t="s">
        <v>1139</v>
      </c>
      <c r="J411" t="s">
        <v>1140</v>
      </c>
      <c r="K411" t="s">
        <v>1141</v>
      </c>
      <c r="L411">
        <v>1368</v>
      </c>
      <c r="N411">
        <v>1011</v>
      </c>
      <c r="O411" t="s">
        <v>802</v>
      </c>
      <c r="P411" t="s">
        <v>802</v>
      </c>
      <c r="Q411">
        <v>1</v>
      </c>
      <c r="X411">
        <v>0.06</v>
      </c>
      <c r="Y411">
        <v>0</v>
      </c>
      <c r="Z411">
        <v>8.1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0.06</v>
      </c>
      <c r="AH411">
        <v>2</v>
      </c>
      <c r="AI411">
        <v>39478681</v>
      </c>
      <c r="AJ411">
        <v>443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ROW(Source!A253)</f>
        <v>253</v>
      </c>
      <c r="B412">
        <v>39478682</v>
      </c>
      <c r="C412">
        <v>39478679</v>
      </c>
      <c r="D412">
        <v>36884526</v>
      </c>
      <c r="E412">
        <v>1</v>
      </c>
      <c r="F412">
        <v>1</v>
      </c>
      <c r="G412">
        <v>1</v>
      </c>
      <c r="H412">
        <v>2</v>
      </c>
      <c r="I412" t="s">
        <v>1208</v>
      </c>
      <c r="J412" t="s">
        <v>1209</v>
      </c>
      <c r="K412" t="s">
        <v>1210</v>
      </c>
      <c r="L412">
        <v>1368</v>
      </c>
      <c r="N412">
        <v>1011</v>
      </c>
      <c r="O412" t="s">
        <v>802</v>
      </c>
      <c r="P412" t="s">
        <v>802</v>
      </c>
      <c r="Q412">
        <v>1</v>
      </c>
      <c r="X412">
        <v>0.09</v>
      </c>
      <c r="Y412">
        <v>0</v>
      </c>
      <c r="Z412">
        <v>1.1100000000000001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0.09</v>
      </c>
      <c r="AH412">
        <v>2</v>
      </c>
      <c r="AI412">
        <v>39478682</v>
      </c>
      <c r="AJ412">
        <v>444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ROW(Source!A253)</f>
        <v>253</v>
      </c>
      <c r="B413">
        <v>39478683</v>
      </c>
      <c r="C413">
        <v>39478679</v>
      </c>
      <c r="D413">
        <v>36800043</v>
      </c>
      <c r="E413">
        <v>1</v>
      </c>
      <c r="F413">
        <v>1</v>
      </c>
      <c r="G413">
        <v>1</v>
      </c>
      <c r="H413">
        <v>3</v>
      </c>
      <c r="I413" t="s">
        <v>1142</v>
      </c>
      <c r="J413" t="s">
        <v>1143</v>
      </c>
      <c r="K413" t="s">
        <v>1144</v>
      </c>
      <c r="L413">
        <v>1346</v>
      </c>
      <c r="N413">
        <v>1009</v>
      </c>
      <c r="O413" t="s">
        <v>217</v>
      </c>
      <c r="P413" t="s">
        <v>217</v>
      </c>
      <c r="Q413">
        <v>1</v>
      </c>
      <c r="X413">
        <v>6.0000000000000001E-3</v>
      </c>
      <c r="Y413">
        <v>44.97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6.0000000000000001E-3</v>
      </c>
      <c r="AH413">
        <v>2</v>
      </c>
      <c r="AI413">
        <v>39478683</v>
      </c>
      <c r="AJ413">
        <v>445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ROW(Source!A253)</f>
        <v>253</v>
      </c>
      <c r="B414">
        <v>39478684</v>
      </c>
      <c r="C414">
        <v>39478679</v>
      </c>
      <c r="D414">
        <v>36801775</v>
      </c>
      <c r="E414">
        <v>1</v>
      </c>
      <c r="F414">
        <v>1</v>
      </c>
      <c r="G414">
        <v>1</v>
      </c>
      <c r="H414">
        <v>3</v>
      </c>
      <c r="I414" t="s">
        <v>1145</v>
      </c>
      <c r="J414" t="s">
        <v>1146</v>
      </c>
      <c r="K414" t="s">
        <v>1147</v>
      </c>
      <c r="L414">
        <v>1346</v>
      </c>
      <c r="N414">
        <v>1009</v>
      </c>
      <c r="O414" t="s">
        <v>217</v>
      </c>
      <c r="P414" t="s">
        <v>217</v>
      </c>
      <c r="Q414">
        <v>1</v>
      </c>
      <c r="X414">
        <v>2E-3</v>
      </c>
      <c r="Y414">
        <v>11.5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2E-3</v>
      </c>
      <c r="AH414">
        <v>2</v>
      </c>
      <c r="AI414">
        <v>39478684</v>
      </c>
      <c r="AJ414">
        <v>446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ROW(Source!A253)</f>
        <v>253</v>
      </c>
      <c r="B415">
        <v>39478685</v>
      </c>
      <c r="C415">
        <v>39478679</v>
      </c>
      <c r="D415">
        <v>36802094</v>
      </c>
      <c r="E415">
        <v>1</v>
      </c>
      <c r="F415">
        <v>1</v>
      </c>
      <c r="G415">
        <v>1</v>
      </c>
      <c r="H415">
        <v>3</v>
      </c>
      <c r="I415" t="s">
        <v>1084</v>
      </c>
      <c r="J415" t="s">
        <v>1085</v>
      </c>
      <c r="K415" t="s">
        <v>1086</v>
      </c>
      <c r="L415">
        <v>1346</v>
      </c>
      <c r="N415">
        <v>1009</v>
      </c>
      <c r="O415" t="s">
        <v>217</v>
      </c>
      <c r="P415" t="s">
        <v>217</v>
      </c>
      <c r="Q415">
        <v>1</v>
      </c>
      <c r="X415">
        <v>2.4E-2</v>
      </c>
      <c r="Y415">
        <v>30.4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2.4E-2</v>
      </c>
      <c r="AH415">
        <v>2</v>
      </c>
      <c r="AI415">
        <v>39478685</v>
      </c>
      <c r="AJ415">
        <v>447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ROW(Source!A253)</f>
        <v>253</v>
      </c>
      <c r="B416">
        <v>39478686</v>
      </c>
      <c r="C416">
        <v>39478679</v>
      </c>
      <c r="D416">
        <v>36803258</v>
      </c>
      <c r="E416">
        <v>1</v>
      </c>
      <c r="F416">
        <v>1</v>
      </c>
      <c r="G416">
        <v>1</v>
      </c>
      <c r="H416">
        <v>3</v>
      </c>
      <c r="I416" t="s">
        <v>1148</v>
      </c>
      <c r="J416" t="s">
        <v>1149</v>
      </c>
      <c r="K416" t="s">
        <v>1150</v>
      </c>
      <c r="L416">
        <v>1346</v>
      </c>
      <c r="N416">
        <v>1009</v>
      </c>
      <c r="O416" t="s">
        <v>217</v>
      </c>
      <c r="P416" t="s">
        <v>217</v>
      </c>
      <c r="Q416">
        <v>1</v>
      </c>
      <c r="X416">
        <v>7.0000000000000007E-2</v>
      </c>
      <c r="Y416">
        <v>10.57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7.0000000000000007E-2</v>
      </c>
      <c r="AH416">
        <v>2</v>
      </c>
      <c r="AI416">
        <v>39478686</v>
      </c>
      <c r="AJ416">
        <v>448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ROW(Source!A253)</f>
        <v>253</v>
      </c>
      <c r="B417">
        <v>39478687</v>
      </c>
      <c r="C417">
        <v>39478679</v>
      </c>
      <c r="D417">
        <v>36804448</v>
      </c>
      <c r="E417">
        <v>1</v>
      </c>
      <c r="F417">
        <v>1</v>
      </c>
      <c r="G417">
        <v>1</v>
      </c>
      <c r="H417">
        <v>3</v>
      </c>
      <c r="I417" t="s">
        <v>1124</v>
      </c>
      <c r="J417" t="s">
        <v>1125</v>
      </c>
      <c r="K417" t="s">
        <v>1083</v>
      </c>
      <c r="L417">
        <v>1346</v>
      </c>
      <c r="N417">
        <v>1009</v>
      </c>
      <c r="O417" t="s">
        <v>217</v>
      </c>
      <c r="P417" t="s">
        <v>217</v>
      </c>
      <c r="Q417">
        <v>1</v>
      </c>
      <c r="X417">
        <v>0.14000000000000001</v>
      </c>
      <c r="Y417">
        <v>9.0399999999999991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0.14000000000000001</v>
      </c>
      <c r="AH417">
        <v>2</v>
      </c>
      <c r="AI417">
        <v>39478687</v>
      </c>
      <c r="AJ417">
        <v>449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ROW(Source!A253)</f>
        <v>253</v>
      </c>
      <c r="B418">
        <v>39478688</v>
      </c>
      <c r="C418">
        <v>39478679</v>
      </c>
      <c r="D418">
        <v>36804580</v>
      </c>
      <c r="E418">
        <v>1</v>
      </c>
      <c r="F418">
        <v>1</v>
      </c>
      <c r="G418">
        <v>1</v>
      </c>
      <c r="H418">
        <v>3</v>
      </c>
      <c r="I418" t="s">
        <v>1131</v>
      </c>
      <c r="J418" t="s">
        <v>1132</v>
      </c>
      <c r="K418" t="s">
        <v>1133</v>
      </c>
      <c r="L418">
        <v>1355</v>
      </c>
      <c r="N418">
        <v>1010</v>
      </c>
      <c r="O418" t="s">
        <v>429</v>
      </c>
      <c r="P418" t="s">
        <v>429</v>
      </c>
      <c r="Q418">
        <v>100</v>
      </c>
      <c r="X418">
        <v>7.0000000000000001E-3</v>
      </c>
      <c r="Y418">
        <v>86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7.0000000000000001E-3</v>
      </c>
      <c r="AH418">
        <v>2</v>
      </c>
      <c r="AI418">
        <v>39478688</v>
      </c>
      <c r="AJ418">
        <v>450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ROW(Source!A253)</f>
        <v>253</v>
      </c>
      <c r="B419">
        <v>39478689</v>
      </c>
      <c r="C419">
        <v>39478679</v>
      </c>
      <c r="D419">
        <v>36805500</v>
      </c>
      <c r="E419">
        <v>1</v>
      </c>
      <c r="F419">
        <v>1</v>
      </c>
      <c r="G419">
        <v>1</v>
      </c>
      <c r="H419">
        <v>3</v>
      </c>
      <c r="I419" t="s">
        <v>1151</v>
      </c>
      <c r="J419" t="s">
        <v>1152</v>
      </c>
      <c r="K419" t="s">
        <v>1153</v>
      </c>
      <c r="L419">
        <v>1346</v>
      </c>
      <c r="N419">
        <v>1009</v>
      </c>
      <c r="O419" t="s">
        <v>217</v>
      </c>
      <c r="P419" t="s">
        <v>217</v>
      </c>
      <c r="Q419">
        <v>1</v>
      </c>
      <c r="X419">
        <v>2E-3</v>
      </c>
      <c r="Y419">
        <v>133.05000000000001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2E-3</v>
      </c>
      <c r="AH419">
        <v>2</v>
      </c>
      <c r="AI419">
        <v>39478689</v>
      </c>
      <c r="AJ419">
        <v>451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ROW(Source!A253)</f>
        <v>253</v>
      </c>
      <c r="B420">
        <v>39478690</v>
      </c>
      <c r="C420">
        <v>39478679</v>
      </c>
      <c r="D420">
        <v>36823140</v>
      </c>
      <c r="E420">
        <v>1</v>
      </c>
      <c r="F420">
        <v>1</v>
      </c>
      <c r="G420">
        <v>1</v>
      </c>
      <c r="H420">
        <v>3</v>
      </c>
      <c r="I420" t="s">
        <v>1154</v>
      </c>
      <c r="J420" t="s">
        <v>1155</v>
      </c>
      <c r="K420" t="s">
        <v>1156</v>
      </c>
      <c r="L420">
        <v>1348</v>
      </c>
      <c r="N420">
        <v>1009</v>
      </c>
      <c r="O420" t="s">
        <v>34</v>
      </c>
      <c r="P420" t="s">
        <v>34</v>
      </c>
      <c r="Q420">
        <v>1000</v>
      </c>
      <c r="X420">
        <v>3.0000000000000001E-3</v>
      </c>
      <c r="Y420">
        <v>11500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3.0000000000000001E-3</v>
      </c>
      <c r="AH420">
        <v>2</v>
      </c>
      <c r="AI420">
        <v>39478690</v>
      </c>
      <c r="AJ420">
        <v>452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ROW(Source!A253)</f>
        <v>253</v>
      </c>
      <c r="B421">
        <v>39478691</v>
      </c>
      <c r="C421">
        <v>39478679</v>
      </c>
      <c r="D421">
        <v>36838317</v>
      </c>
      <c r="E421">
        <v>1</v>
      </c>
      <c r="F421">
        <v>1</v>
      </c>
      <c r="G421">
        <v>1</v>
      </c>
      <c r="H421">
        <v>3</v>
      </c>
      <c r="I421" t="s">
        <v>1090</v>
      </c>
      <c r="J421" t="s">
        <v>1091</v>
      </c>
      <c r="K421" t="s">
        <v>1092</v>
      </c>
      <c r="L421">
        <v>1346</v>
      </c>
      <c r="N421">
        <v>1009</v>
      </c>
      <c r="O421" t="s">
        <v>217</v>
      </c>
      <c r="P421" t="s">
        <v>217</v>
      </c>
      <c r="Q421">
        <v>1</v>
      </c>
      <c r="X421">
        <v>1.7999999999999999E-2</v>
      </c>
      <c r="Y421">
        <v>28.6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1.7999999999999999E-2</v>
      </c>
      <c r="AH421">
        <v>2</v>
      </c>
      <c r="AI421">
        <v>39478691</v>
      </c>
      <c r="AJ421">
        <v>453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ROW(Source!A253)</f>
        <v>253</v>
      </c>
      <c r="B422">
        <v>39478692</v>
      </c>
      <c r="C422">
        <v>39478679</v>
      </c>
      <c r="D422">
        <v>36838470</v>
      </c>
      <c r="E422">
        <v>1</v>
      </c>
      <c r="F422">
        <v>1</v>
      </c>
      <c r="G422">
        <v>1</v>
      </c>
      <c r="H422">
        <v>3</v>
      </c>
      <c r="I422" t="s">
        <v>1157</v>
      </c>
      <c r="J422" t="s">
        <v>1158</v>
      </c>
      <c r="K422" t="s">
        <v>1159</v>
      </c>
      <c r="L422">
        <v>1346</v>
      </c>
      <c r="N422">
        <v>1009</v>
      </c>
      <c r="O422" t="s">
        <v>217</v>
      </c>
      <c r="P422" t="s">
        <v>217</v>
      </c>
      <c r="Q422">
        <v>1</v>
      </c>
      <c r="X422">
        <v>8.9999999999999993E-3</v>
      </c>
      <c r="Y422">
        <v>35.630000000000003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8.9999999999999993E-3</v>
      </c>
      <c r="AH422">
        <v>2</v>
      </c>
      <c r="AI422">
        <v>39478692</v>
      </c>
      <c r="AJ422">
        <v>454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ROW(Source!A253)</f>
        <v>253</v>
      </c>
      <c r="B423">
        <v>39478693</v>
      </c>
      <c r="C423">
        <v>39478679</v>
      </c>
      <c r="D423">
        <v>36851945</v>
      </c>
      <c r="E423">
        <v>1</v>
      </c>
      <c r="F423">
        <v>1</v>
      </c>
      <c r="G423">
        <v>1</v>
      </c>
      <c r="H423">
        <v>3</v>
      </c>
      <c r="I423" t="s">
        <v>1160</v>
      </c>
      <c r="J423" t="s">
        <v>1161</v>
      </c>
      <c r="K423" t="s">
        <v>1162</v>
      </c>
      <c r="L423">
        <v>1358</v>
      </c>
      <c r="N423">
        <v>1010</v>
      </c>
      <c r="O423" t="s">
        <v>160</v>
      </c>
      <c r="P423" t="s">
        <v>160</v>
      </c>
      <c r="Q423">
        <v>10</v>
      </c>
      <c r="X423">
        <v>0.1</v>
      </c>
      <c r="Y423">
        <v>39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0.1</v>
      </c>
      <c r="AH423">
        <v>2</v>
      </c>
      <c r="AI423">
        <v>39478693</v>
      </c>
      <c r="AJ423">
        <v>455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ROW(Source!A253)</f>
        <v>253</v>
      </c>
      <c r="B424">
        <v>39478694</v>
      </c>
      <c r="C424">
        <v>39478679</v>
      </c>
      <c r="D424">
        <v>36799065</v>
      </c>
      <c r="E424">
        <v>17</v>
      </c>
      <c r="F424">
        <v>1</v>
      </c>
      <c r="G424">
        <v>1</v>
      </c>
      <c r="H424">
        <v>3</v>
      </c>
      <c r="I424" t="s">
        <v>1099</v>
      </c>
      <c r="J424" t="s">
        <v>3</v>
      </c>
      <c r="K424" t="s">
        <v>1100</v>
      </c>
      <c r="L424">
        <v>1374</v>
      </c>
      <c r="N424">
        <v>1013</v>
      </c>
      <c r="O424" t="s">
        <v>1101</v>
      </c>
      <c r="P424" t="s">
        <v>1101</v>
      </c>
      <c r="Q424">
        <v>1</v>
      </c>
      <c r="X424">
        <v>0.43</v>
      </c>
      <c r="Y424">
        <v>1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0.43</v>
      </c>
      <c r="AH424">
        <v>2</v>
      </c>
      <c r="AI424">
        <v>39478694</v>
      </c>
      <c r="AJ424">
        <v>457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ROW(Source!A255)</f>
        <v>255</v>
      </c>
      <c r="B425">
        <v>39478721</v>
      </c>
      <c r="C425">
        <v>39478720</v>
      </c>
      <c r="D425">
        <v>37071037</v>
      </c>
      <c r="E425">
        <v>1</v>
      </c>
      <c r="F425">
        <v>1</v>
      </c>
      <c r="G425">
        <v>1</v>
      </c>
      <c r="H425">
        <v>1</v>
      </c>
      <c r="I425" t="s">
        <v>992</v>
      </c>
      <c r="J425" t="s">
        <v>3</v>
      </c>
      <c r="K425" t="s">
        <v>993</v>
      </c>
      <c r="L425">
        <v>1191</v>
      </c>
      <c r="N425">
        <v>1013</v>
      </c>
      <c r="O425" t="s">
        <v>796</v>
      </c>
      <c r="P425" t="s">
        <v>796</v>
      </c>
      <c r="Q425">
        <v>1</v>
      </c>
      <c r="X425">
        <v>8.99</v>
      </c>
      <c r="Y425">
        <v>0</v>
      </c>
      <c r="Z425">
        <v>0</v>
      </c>
      <c r="AA425">
        <v>0</v>
      </c>
      <c r="AB425">
        <v>9.6199999999999992</v>
      </c>
      <c r="AC425">
        <v>0</v>
      </c>
      <c r="AD425">
        <v>1</v>
      </c>
      <c r="AE425">
        <v>1</v>
      </c>
      <c r="AF425" t="s">
        <v>54</v>
      </c>
      <c r="AG425">
        <v>12.4062</v>
      </c>
      <c r="AH425">
        <v>2</v>
      </c>
      <c r="AI425">
        <v>39478721</v>
      </c>
      <c r="AJ425">
        <v>458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ROW(Source!A255)</f>
        <v>255</v>
      </c>
      <c r="B426">
        <v>39478722</v>
      </c>
      <c r="C426">
        <v>39478720</v>
      </c>
      <c r="D426">
        <v>37064876</v>
      </c>
      <c r="E426">
        <v>1</v>
      </c>
      <c r="F426">
        <v>1</v>
      </c>
      <c r="G426">
        <v>1</v>
      </c>
      <c r="H426">
        <v>1</v>
      </c>
      <c r="I426" t="s">
        <v>797</v>
      </c>
      <c r="J426" t="s">
        <v>3</v>
      </c>
      <c r="K426" t="s">
        <v>798</v>
      </c>
      <c r="L426">
        <v>1191</v>
      </c>
      <c r="N426">
        <v>1013</v>
      </c>
      <c r="O426" t="s">
        <v>796</v>
      </c>
      <c r="P426" t="s">
        <v>796</v>
      </c>
      <c r="Q426">
        <v>1</v>
      </c>
      <c r="X426">
        <v>0.21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53</v>
      </c>
      <c r="AG426">
        <v>0.315</v>
      </c>
      <c r="AH426">
        <v>2</v>
      </c>
      <c r="AI426">
        <v>39478722</v>
      </c>
      <c r="AJ426">
        <v>459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ROW(Source!A255)</f>
        <v>255</v>
      </c>
      <c r="B427">
        <v>39478723</v>
      </c>
      <c r="C427">
        <v>39478720</v>
      </c>
      <c r="D427">
        <v>36882452</v>
      </c>
      <c r="E427">
        <v>1</v>
      </c>
      <c r="F427">
        <v>1</v>
      </c>
      <c r="G427">
        <v>1</v>
      </c>
      <c r="H427">
        <v>2</v>
      </c>
      <c r="I427" t="s">
        <v>799</v>
      </c>
      <c r="J427" t="s">
        <v>800</v>
      </c>
      <c r="K427" t="s">
        <v>801</v>
      </c>
      <c r="L427">
        <v>1368</v>
      </c>
      <c r="N427">
        <v>1011</v>
      </c>
      <c r="O427" t="s">
        <v>802</v>
      </c>
      <c r="P427" t="s">
        <v>802</v>
      </c>
      <c r="Q427">
        <v>1</v>
      </c>
      <c r="X427">
        <v>7.0000000000000007E-2</v>
      </c>
      <c r="Y427">
        <v>0</v>
      </c>
      <c r="Z427">
        <v>31.26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53</v>
      </c>
      <c r="AG427">
        <v>0.10500000000000001</v>
      </c>
      <c r="AH427">
        <v>2</v>
      </c>
      <c r="AI427">
        <v>39478723</v>
      </c>
      <c r="AJ427">
        <v>460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ROW(Source!A255)</f>
        <v>255</v>
      </c>
      <c r="B428">
        <v>39478724</v>
      </c>
      <c r="C428">
        <v>39478720</v>
      </c>
      <c r="D428">
        <v>36883554</v>
      </c>
      <c r="E428">
        <v>1</v>
      </c>
      <c r="F428">
        <v>1</v>
      </c>
      <c r="G428">
        <v>1</v>
      </c>
      <c r="H428">
        <v>2</v>
      </c>
      <c r="I428" t="s">
        <v>834</v>
      </c>
      <c r="J428" t="s">
        <v>835</v>
      </c>
      <c r="K428" t="s">
        <v>836</v>
      </c>
      <c r="L428">
        <v>1368</v>
      </c>
      <c r="N428">
        <v>1011</v>
      </c>
      <c r="O428" t="s">
        <v>802</v>
      </c>
      <c r="P428" t="s">
        <v>802</v>
      </c>
      <c r="Q428">
        <v>1</v>
      </c>
      <c r="X428">
        <v>0.14000000000000001</v>
      </c>
      <c r="Y428">
        <v>0</v>
      </c>
      <c r="Z428">
        <v>65.709999999999994</v>
      </c>
      <c r="AA428">
        <v>11.6</v>
      </c>
      <c r="AB428">
        <v>0</v>
      </c>
      <c r="AC428">
        <v>0</v>
      </c>
      <c r="AD428">
        <v>1</v>
      </c>
      <c r="AE428">
        <v>0</v>
      </c>
      <c r="AF428" t="s">
        <v>53</v>
      </c>
      <c r="AG428">
        <v>0.21000000000000002</v>
      </c>
      <c r="AH428">
        <v>2</v>
      </c>
      <c r="AI428">
        <v>39478724</v>
      </c>
      <c r="AJ428">
        <v>461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ROW(Source!A255)</f>
        <v>255</v>
      </c>
      <c r="B429">
        <v>39478725</v>
      </c>
      <c r="C429">
        <v>39478720</v>
      </c>
      <c r="D429">
        <v>36802461</v>
      </c>
      <c r="E429">
        <v>1</v>
      </c>
      <c r="F429">
        <v>1</v>
      </c>
      <c r="G429">
        <v>1</v>
      </c>
      <c r="H429">
        <v>3</v>
      </c>
      <c r="I429" t="s">
        <v>1211</v>
      </c>
      <c r="J429" t="s">
        <v>1212</v>
      </c>
      <c r="K429" t="s">
        <v>1213</v>
      </c>
      <c r="L429">
        <v>1348</v>
      </c>
      <c r="N429">
        <v>1009</v>
      </c>
      <c r="O429" t="s">
        <v>34</v>
      </c>
      <c r="P429" t="s">
        <v>34</v>
      </c>
      <c r="Q429">
        <v>1000</v>
      </c>
      <c r="X429">
        <v>1.4E-3</v>
      </c>
      <c r="Y429">
        <v>30030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1.4E-3</v>
      </c>
      <c r="AH429">
        <v>2</v>
      </c>
      <c r="AI429">
        <v>39478725</v>
      </c>
      <c r="AJ429">
        <v>462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ROW(Source!A255)</f>
        <v>255</v>
      </c>
      <c r="B430">
        <v>39478726</v>
      </c>
      <c r="C430">
        <v>39478720</v>
      </c>
      <c r="D430">
        <v>36802469</v>
      </c>
      <c r="E430">
        <v>1</v>
      </c>
      <c r="F430">
        <v>1</v>
      </c>
      <c r="G430">
        <v>1</v>
      </c>
      <c r="H430">
        <v>3</v>
      </c>
      <c r="I430" t="s">
        <v>1197</v>
      </c>
      <c r="J430" t="s">
        <v>1198</v>
      </c>
      <c r="K430" t="s">
        <v>1199</v>
      </c>
      <c r="L430">
        <v>1346</v>
      </c>
      <c r="N430">
        <v>1009</v>
      </c>
      <c r="O430" t="s">
        <v>217</v>
      </c>
      <c r="P430" t="s">
        <v>217</v>
      </c>
      <c r="Q430">
        <v>1</v>
      </c>
      <c r="X430">
        <v>0.02</v>
      </c>
      <c r="Y430">
        <v>37.29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0.02</v>
      </c>
      <c r="AH430">
        <v>2</v>
      </c>
      <c r="AI430">
        <v>39478726</v>
      </c>
      <c r="AJ430">
        <v>463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ROW(Source!A255)</f>
        <v>255</v>
      </c>
      <c r="B431">
        <v>39478727</v>
      </c>
      <c r="C431">
        <v>39478720</v>
      </c>
      <c r="D431">
        <v>36797518</v>
      </c>
      <c r="E431">
        <v>17</v>
      </c>
      <c r="F431">
        <v>1</v>
      </c>
      <c r="G431">
        <v>1</v>
      </c>
      <c r="H431">
        <v>3</v>
      </c>
      <c r="I431" t="s">
        <v>592</v>
      </c>
      <c r="J431" t="s">
        <v>3</v>
      </c>
      <c r="K431" t="s">
        <v>593</v>
      </c>
      <c r="L431">
        <v>1358</v>
      </c>
      <c r="N431">
        <v>1010</v>
      </c>
      <c r="O431" t="s">
        <v>160</v>
      </c>
      <c r="P431" t="s">
        <v>160</v>
      </c>
      <c r="Q431">
        <v>10</v>
      </c>
      <c r="X431">
        <v>4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 t="s">
        <v>3</v>
      </c>
      <c r="AG431">
        <v>4</v>
      </c>
      <c r="AH431">
        <v>2</v>
      </c>
      <c r="AI431">
        <v>39478727</v>
      </c>
      <c r="AJ431">
        <v>464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ROW(Source!A255)</f>
        <v>255</v>
      </c>
      <c r="B432">
        <v>39478728</v>
      </c>
      <c r="C432">
        <v>39478720</v>
      </c>
      <c r="D432">
        <v>36796579</v>
      </c>
      <c r="E432">
        <v>17</v>
      </c>
      <c r="F432">
        <v>1</v>
      </c>
      <c r="G432">
        <v>1</v>
      </c>
      <c r="H432">
        <v>3</v>
      </c>
      <c r="I432" t="s">
        <v>618</v>
      </c>
      <c r="J432" t="s">
        <v>3</v>
      </c>
      <c r="K432" t="s">
        <v>619</v>
      </c>
      <c r="L432">
        <v>1348</v>
      </c>
      <c r="N432">
        <v>1009</v>
      </c>
      <c r="O432" t="s">
        <v>34</v>
      </c>
      <c r="P432" t="s">
        <v>34</v>
      </c>
      <c r="Q432">
        <v>1000</v>
      </c>
      <c r="X432">
        <v>6.9999999999999999E-4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 t="s">
        <v>3</v>
      </c>
      <c r="AG432">
        <v>6.9999999999999999E-4</v>
      </c>
      <c r="AH432">
        <v>2</v>
      </c>
      <c r="AI432">
        <v>39478728</v>
      </c>
      <c r="AJ432">
        <v>466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ROW(Source!A255)</f>
        <v>255</v>
      </c>
      <c r="B433">
        <v>39478729</v>
      </c>
      <c r="C433">
        <v>39478720</v>
      </c>
      <c r="D433">
        <v>36806623</v>
      </c>
      <c r="E433">
        <v>1</v>
      </c>
      <c r="F433">
        <v>1</v>
      </c>
      <c r="G433">
        <v>1</v>
      </c>
      <c r="H433">
        <v>3</v>
      </c>
      <c r="I433" t="s">
        <v>1214</v>
      </c>
      <c r="J433" t="s">
        <v>1215</v>
      </c>
      <c r="K433" t="s">
        <v>1216</v>
      </c>
      <c r="L433">
        <v>1348</v>
      </c>
      <c r="N433">
        <v>1009</v>
      </c>
      <c r="O433" t="s">
        <v>34</v>
      </c>
      <c r="P433" t="s">
        <v>34</v>
      </c>
      <c r="Q433">
        <v>1000</v>
      </c>
      <c r="X433">
        <v>2E-3</v>
      </c>
      <c r="Y433">
        <v>1836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2E-3</v>
      </c>
      <c r="AH433">
        <v>2</v>
      </c>
      <c r="AI433">
        <v>39478729</v>
      </c>
      <c r="AJ433">
        <v>467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ROW(Source!A255)</f>
        <v>255</v>
      </c>
      <c r="B434">
        <v>39478730</v>
      </c>
      <c r="C434">
        <v>39478720</v>
      </c>
      <c r="D434">
        <v>36838223</v>
      </c>
      <c r="E434">
        <v>1</v>
      </c>
      <c r="F434">
        <v>1</v>
      </c>
      <c r="G434">
        <v>1</v>
      </c>
      <c r="H434">
        <v>3</v>
      </c>
      <c r="I434" t="s">
        <v>1200</v>
      </c>
      <c r="J434" t="s">
        <v>1201</v>
      </c>
      <c r="K434" t="s">
        <v>1202</v>
      </c>
      <c r="L434">
        <v>1348</v>
      </c>
      <c r="N434">
        <v>1009</v>
      </c>
      <c r="O434" t="s">
        <v>34</v>
      </c>
      <c r="P434" t="s">
        <v>34</v>
      </c>
      <c r="Q434">
        <v>1000</v>
      </c>
      <c r="X434">
        <v>4.0000000000000002E-4</v>
      </c>
      <c r="Y434">
        <v>15119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4.0000000000000002E-4</v>
      </c>
      <c r="AH434">
        <v>2</v>
      </c>
      <c r="AI434">
        <v>39478730</v>
      </c>
      <c r="AJ434">
        <v>468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ROW(Source!A255)</f>
        <v>255</v>
      </c>
      <c r="B435">
        <v>39478731</v>
      </c>
      <c r="C435">
        <v>39478720</v>
      </c>
      <c r="D435">
        <v>36797701</v>
      </c>
      <c r="E435">
        <v>17</v>
      </c>
      <c r="F435">
        <v>1</v>
      </c>
      <c r="G435">
        <v>1</v>
      </c>
      <c r="H435">
        <v>3</v>
      </c>
      <c r="I435" t="s">
        <v>1263</v>
      </c>
      <c r="J435" t="s">
        <v>3</v>
      </c>
      <c r="K435" t="s">
        <v>1264</v>
      </c>
      <c r="L435">
        <v>1346</v>
      </c>
      <c r="N435">
        <v>1009</v>
      </c>
      <c r="O435" t="s">
        <v>217</v>
      </c>
      <c r="P435" t="s">
        <v>217</v>
      </c>
      <c r="Q435">
        <v>1</v>
      </c>
      <c r="X435">
        <v>2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 t="s">
        <v>3</v>
      </c>
      <c r="AG435">
        <v>2</v>
      </c>
      <c r="AH435">
        <v>3</v>
      </c>
      <c r="AI435">
        <v>-1</v>
      </c>
      <c r="AJ435" t="s">
        <v>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ROW(Source!A255)</f>
        <v>255</v>
      </c>
      <c r="B436">
        <v>39478732</v>
      </c>
      <c r="C436">
        <v>39478720</v>
      </c>
      <c r="D436">
        <v>36838951</v>
      </c>
      <c r="E436">
        <v>1</v>
      </c>
      <c r="F436">
        <v>1</v>
      </c>
      <c r="G436">
        <v>1</v>
      </c>
      <c r="H436">
        <v>3</v>
      </c>
      <c r="I436" t="s">
        <v>1203</v>
      </c>
      <c r="J436" t="s">
        <v>1204</v>
      </c>
      <c r="K436" t="s">
        <v>1205</v>
      </c>
      <c r="L436">
        <v>1348</v>
      </c>
      <c r="N436">
        <v>1009</v>
      </c>
      <c r="O436" t="s">
        <v>34</v>
      </c>
      <c r="P436" t="s">
        <v>34</v>
      </c>
      <c r="Q436">
        <v>1000</v>
      </c>
      <c r="X436">
        <v>2.0000000000000001E-4</v>
      </c>
      <c r="Y436">
        <v>16950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2.0000000000000001E-4</v>
      </c>
      <c r="AH436">
        <v>2</v>
      </c>
      <c r="AI436">
        <v>39478732</v>
      </c>
      <c r="AJ436">
        <v>469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ROW(Source!A255)</f>
        <v>255</v>
      </c>
      <c r="B437">
        <v>39478733</v>
      </c>
      <c r="C437">
        <v>39478720</v>
      </c>
      <c r="D437">
        <v>36797696</v>
      </c>
      <c r="E437">
        <v>17</v>
      </c>
      <c r="F437">
        <v>1</v>
      </c>
      <c r="G437">
        <v>1</v>
      </c>
      <c r="H437">
        <v>3</v>
      </c>
      <c r="I437" t="s">
        <v>621</v>
      </c>
      <c r="J437" t="s">
        <v>3</v>
      </c>
      <c r="K437" t="s">
        <v>622</v>
      </c>
      <c r="L437">
        <v>1035</v>
      </c>
      <c r="N437">
        <v>1013</v>
      </c>
      <c r="O437" t="s">
        <v>152</v>
      </c>
      <c r="P437" t="s">
        <v>152</v>
      </c>
      <c r="Q437">
        <v>1</v>
      </c>
      <c r="X437">
        <v>10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 t="s">
        <v>3</v>
      </c>
      <c r="AG437">
        <v>10</v>
      </c>
      <c r="AH437">
        <v>2</v>
      </c>
      <c r="AI437">
        <v>39478733</v>
      </c>
      <c r="AJ437">
        <v>471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ROW(Source!A261)</f>
        <v>261</v>
      </c>
      <c r="B438">
        <v>39478744</v>
      </c>
      <c r="C438">
        <v>39478743</v>
      </c>
      <c r="D438">
        <v>37071037</v>
      </c>
      <c r="E438">
        <v>1</v>
      </c>
      <c r="F438">
        <v>1</v>
      </c>
      <c r="G438">
        <v>1</v>
      </c>
      <c r="H438">
        <v>1</v>
      </c>
      <c r="I438" t="s">
        <v>992</v>
      </c>
      <c r="J438" t="s">
        <v>3</v>
      </c>
      <c r="K438" t="s">
        <v>993</v>
      </c>
      <c r="L438">
        <v>1191</v>
      </c>
      <c r="N438">
        <v>1013</v>
      </c>
      <c r="O438" t="s">
        <v>796</v>
      </c>
      <c r="P438" t="s">
        <v>796</v>
      </c>
      <c r="Q438">
        <v>1</v>
      </c>
      <c r="X438">
        <v>8.77</v>
      </c>
      <c r="Y438">
        <v>0</v>
      </c>
      <c r="Z438">
        <v>0</v>
      </c>
      <c r="AA438">
        <v>0</v>
      </c>
      <c r="AB438">
        <v>9.6199999999999992</v>
      </c>
      <c r="AC438">
        <v>0</v>
      </c>
      <c r="AD438">
        <v>1</v>
      </c>
      <c r="AE438">
        <v>1</v>
      </c>
      <c r="AF438" t="s">
        <v>54</v>
      </c>
      <c r="AG438">
        <v>12.102599999999997</v>
      </c>
      <c r="AH438">
        <v>2</v>
      </c>
      <c r="AI438">
        <v>39478744</v>
      </c>
      <c r="AJ438">
        <v>472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ROW(Source!A261)</f>
        <v>261</v>
      </c>
      <c r="B439">
        <v>39478745</v>
      </c>
      <c r="C439">
        <v>39478743</v>
      </c>
      <c r="D439">
        <v>37064876</v>
      </c>
      <c r="E439">
        <v>1</v>
      </c>
      <c r="F439">
        <v>1</v>
      </c>
      <c r="G439">
        <v>1</v>
      </c>
      <c r="H439">
        <v>1</v>
      </c>
      <c r="I439" t="s">
        <v>797</v>
      </c>
      <c r="J439" t="s">
        <v>3</v>
      </c>
      <c r="K439" t="s">
        <v>798</v>
      </c>
      <c r="L439">
        <v>1191</v>
      </c>
      <c r="N439">
        <v>1013</v>
      </c>
      <c r="O439" t="s">
        <v>796</v>
      </c>
      <c r="P439" t="s">
        <v>796</v>
      </c>
      <c r="Q439">
        <v>1</v>
      </c>
      <c r="X439">
        <v>0.28999999999999998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2</v>
      </c>
      <c r="AF439" t="s">
        <v>53</v>
      </c>
      <c r="AG439">
        <v>0.435</v>
      </c>
      <c r="AH439">
        <v>2</v>
      </c>
      <c r="AI439">
        <v>39478745</v>
      </c>
      <c r="AJ439">
        <v>473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ROW(Source!A261)</f>
        <v>261</v>
      </c>
      <c r="B440">
        <v>39478746</v>
      </c>
      <c r="C440">
        <v>39478743</v>
      </c>
      <c r="D440">
        <v>36882452</v>
      </c>
      <c r="E440">
        <v>1</v>
      </c>
      <c r="F440">
        <v>1</v>
      </c>
      <c r="G440">
        <v>1</v>
      </c>
      <c r="H440">
        <v>2</v>
      </c>
      <c r="I440" t="s">
        <v>799</v>
      </c>
      <c r="J440" t="s">
        <v>800</v>
      </c>
      <c r="K440" t="s">
        <v>801</v>
      </c>
      <c r="L440">
        <v>1368</v>
      </c>
      <c r="N440">
        <v>1011</v>
      </c>
      <c r="O440" t="s">
        <v>802</v>
      </c>
      <c r="P440" t="s">
        <v>802</v>
      </c>
      <c r="Q440">
        <v>1</v>
      </c>
      <c r="X440">
        <v>0.1</v>
      </c>
      <c r="Y440">
        <v>0</v>
      </c>
      <c r="Z440">
        <v>31.26</v>
      </c>
      <c r="AA440">
        <v>13.5</v>
      </c>
      <c r="AB440">
        <v>0</v>
      </c>
      <c r="AC440">
        <v>0</v>
      </c>
      <c r="AD440">
        <v>1</v>
      </c>
      <c r="AE440">
        <v>0</v>
      </c>
      <c r="AF440" t="s">
        <v>53</v>
      </c>
      <c r="AG440">
        <v>0.15</v>
      </c>
      <c r="AH440">
        <v>2</v>
      </c>
      <c r="AI440">
        <v>39478746</v>
      </c>
      <c r="AJ440">
        <v>474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ROW(Source!A261)</f>
        <v>261</v>
      </c>
      <c r="B441">
        <v>39478747</v>
      </c>
      <c r="C441">
        <v>39478743</v>
      </c>
      <c r="D441">
        <v>36883554</v>
      </c>
      <c r="E441">
        <v>1</v>
      </c>
      <c r="F441">
        <v>1</v>
      </c>
      <c r="G441">
        <v>1</v>
      </c>
      <c r="H441">
        <v>2</v>
      </c>
      <c r="I441" t="s">
        <v>834</v>
      </c>
      <c r="J441" t="s">
        <v>835</v>
      </c>
      <c r="K441" t="s">
        <v>836</v>
      </c>
      <c r="L441">
        <v>1368</v>
      </c>
      <c r="N441">
        <v>1011</v>
      </c>
      <c r="O441" t="s">
        <v>802</v>
      </c>
      <c r="P441" t="s">
        <v>802</v>
      </c>
      <c r="Q441">
        <v>1</v>
      </c>
      <c r="X441">
        <v>0.19</v>
      </c>
      <c r="Y441">
        <v>0</v>
      </c>
      <c r="Z441">
        <v>65.709999999999994</v>
      </c>
      <c r="AA441">
        <v>11.6</v>
      </c>
      <c r="AB441">
        <v>0</v>
      </c>
      <c r="AC441">
        <v>0</v>
      </c>
      <c r="AD441">
        <v>1</v>
      </c>
      <c r="AE441">
        <v>0</v>
      </c>
      <c r="AF441" t="s">
        <v>53</v>
      </c>
      <c r="AG441">
        <v>0.28499999999999998</v>
      </c>
      <c r="AH441">
        <v>2</v>
      </c>
      <c r="AI441">
        <v>39478747</v>
      </c>
      <c r="AJ441">
        <v>475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ROW(Source!A261)</f>
        <v>261</v>
      </c>
      <c r="B442">
        <v>39478748</v>
      </c>
      <c r="C442">
        <v>39478743</v>
      </c>
      <c r="D442">
        <v>36802461</v>
      </c>
      <c r="E442">
        <v>1</v>
      </c>
      <c r="F442">
        <v>1</v>
      </c>
      <c r="G442">
        <v>1</v>
      </c>
      <c r="H442">
        <v>3</v>
      </c>
      <c r="I442" t="s">
        <v>1211</v>
      </c>
      <c r="J442" t="s">
        <v>1212</v>
      </c>
      <c r="K442" t="s">
        <v>1213</v>
      </c>
      <c r="L442">
        <v>1348</v>
      </c>
      <c r="N442">
        <v>1009</v>
      </c>
      <c r="O442" t="s">
        <v>34</v>
      </c>
      <c r="P442" t="s">
        <v>34</v>
      </c>
      <c r="Q442">
        <v>1000</v>
      </c>
      <c r="X442">
        <v>1.1999999999999999E-3</v>
      </c>
      <c r="Y442">
        <v>30030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1.1999999999999999E-3</v>
      </c>
      <c r="AH442">
        <v>2</v>
      </c>
      <c r="AI442">
        <v>39478748</v>
      </c>
      <c r="AJ442">
        <v>476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ROW(Source!A261)</f>
        <v>261</v>
      </c>
      <c r="B443">
        <v>39478749</v>
      </c>
      <c r="C443">
        <v>39478743</v>
      </c>
      <c r="D443">
        <v>36806623</v>
      </c>
      <c r="E443">
        <v>1</v>
      </c>
      <c r="F443">
        <v>1</v>
      </c>
      <c r="G443">
        <v>1</v>
      </c>
      <c r="H443">
        <v>3</v>
      </c>
      <c r="I443" t="s">
        <v>1214</v>
      </c>
      <c r="J443" t="s">
        <v>1215</v>
      </c>
      <c r="K443" t="s">
        <v>1216</v>
      </c>
      <c r="L443">
        <v>1348</v>
      </c>
      <c r="N443">
        <v>1009</v>
      </c>
      <c r="O443" t="s">
        <v>34</v>
      </c>
      <c r="P443" t="s">
        <v>34</v>
      </c>
      <c r="Q443">
        <v>1000</v>
      </c>
      <c r="X443">
        <v>3.2000000000000002E-3</v>
      </c>
      <c r="Y443">
        <v>1836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3.2000000000000002E-3</v>
      </c>
      <c r="AH443">
        <v>2</v>
      </c>
      <c r="AI443">
        <v>39478749</v>
      </c>
      <c r="AJ443">
        <v>477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ROW(Source!A261)</f>
        <v>261</v>
      </c>
      <c r="B444">
        <v>39478750</v>
      </c>
      <c r="C444">
        <v>39478743</v>
      </c>
      <c r="D444">
        <v>36797696</v>
      </c>
      <c r="E444">
        <v>17</v>
      </c>
      <c r="F444">
        <v>1</v>
      </c>
      <c r="G444">
        <v>1</v>
      </c>
      <c r="H444">
        <v>3</v>
      </c>
      <c r="I444" t="s">
        <v>621</v>
      </c>
      <c r="J444" t="s">
        <v>3</v>
      </c>
      <c r="K444" t="s">
        <v>622</v>
      </c>
      <c r="L444">
        <v>1035</v>
      </c>
      <c r="N444">
        <v>1013</v>
      </c>
      <c r="O444" t="s">
        <v>152</v>
      </c>
      <c r="P444" t="s">
        <v>152</v>
      </c>
      <c r="Q444">
        <v>1</v>
      </c>
      <c r="X444">
        <v>10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 t="s">
        <v>3</v>
      </c>
      <c r="AG444">
        <v>10</v>
      </c>
      <c r="AH444">
        <v>2</v>
      </c>
      <c r="AI444">
        <v>39478750</v>
      </c>
      <c r="AJ444">
        <v>479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ROW(Source!A264)</f>
        <v>264</v>
      </c>
      <c r="B445">
        <v>39478753</v>
      </c>
      <c r="C445">
        <v>39478752</v>
      </c>
      <c r="D445">
        <v>37070202</v>
      </c>
      <c r="E445">
        <v>1</v>
      </c>
      <c r="F445">
        <v>1</v>
      </c>
      <c r="G445">
        <v>1</v>
      </c>
      <c r="H445">
        <v>1</v>
      </c>
      <c r="I445" t="s">
        <v>1137</v>
      </c>
      <c r="J445" t="s">
        <v>3</v>
      </c>
      <c r="K445" t="s">
        <v>1138</v>
      </c>
      <c r="L445">
        <v>1191</v>
      </c>
      <c r="N445">
        <v>1013</v>
      </c>
      <c r="O445" t="s">
        <v>796</v>
      </c>
      <c r="P445" t="s">
        <v>796</v>
      </c>
      <c r="Q445">
        <v>1</v>
      </c>
      <c r="X445">
        <v>24.64</v>
      </c>
      <c r="Y445">
        <v>0</v>
      </c>
      <c r="Z445">
        <v>0</v>
      </c>
      <c r="AA445">
        <v>0</v>
      </c>
      <c r="AB445">
        <v>9.51</v>
      </c>
      <c r="AC445">
        <v>0</v>
      </c>
      <c r="AD445">
        <v>1</v>
      </c>
      <c r="AE445">
        <v>1</v>
      </c>
      <c r="AF445" t="s">
        <v>54</v>
      </c>
      <c r="AG445">
        <v>34.0032</v>
      </c>
      <c r="AH445">
        <v>2</v>
      </c>
      <c r="AI445">
        <v>39478753</v>
      </c>
      <c r="AJ445">
        <v>480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ROW(Source!A264)</f>
        <v>264</v>
      </c>
      <c r="B446">
        <v>39478754</v>
      </c>
      <c r="C446">
        <v>39478752</v>
      </c>
      <c r="D446">
        <v>37064876</v>
      </c>
      <c r="E446">
        <v>1</v>
      </c>
      <c r="F446">
        <v>1</v>
      </c>
      <c r="G446">
        <v>1</v>
      </c>
      <c r="H446">
        <v>1</v>
      </c>
      <c r="I446" t="s">
        <v>797</v>
      </c>
      <c r="J446" t="s">
        <v>3</v>
      </c>
      <c r="K446" t="s">
        <v>798</v>
      </c>
      <c r="L446">
        <v>1191</v>
      </c>
      <c r="N446">
        <v>1013</v>
      </c>
      <c r="O446" t="s">
        <v>796</v>
      </c>
      <c r="P446" t="s">
        <v>796</v>
      </c>
      <c r="Q446">
        <v>1</v>
      </c>
      <c r="X446">
        <v>0.71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2</v>
      </c>
      <c r="AF446" t="s">
        <v>53</v>
      </c>
      <c r="AG446">
        <v>1.0649999999999999</v>
      </c>
      <c r="AH446">
        <v>2</v>
      </c>
      <c r="AI446">
        <v>39478754</v>
      </c>
      <c r="AJ446">
        <v>481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ROW(Source!A264)</f>
        <v>264</v>
      </c>
      <c r="B447">
        <v>39478755</v>
      </c>
      <c r="C447">
        <v>39478752</v>
      </c>
      <c r="D447">
        <v>36882452</v>
      </c>
      <c r="E447">
        <v>1</v>
      </c>
      <c r="F447">
        <v>1</v>
      </c>
      <c r="G447">
        <v>1</v>
      </c>
      <c r="H447">
        <v>2</v>
      </c>
      <c r="I447" t="s">
        <v>799</v>
      </c>
      <c r="J447" t="s">
        <v>800</v>
      </c>
      <c r="K447" t="s">
        <v>801</v>
      </c>
      <c r="L447">
        <v>1368</v>
      </c>
      <c r="N447">
        <v>1011</v>
      </c>
      <c r="O447" t="s">
        <v>802</v>
      </c>
      <c r="P447" t="s">
        <v>802</v>
      </c>
      <c r="Q447">
        <v>1</v>
      </c>
      <c r="X447">
        <v>0.32</v>
      </c>
      <c r="Y447">
        <v>0</v>
      </c>
      <c r="Z447">
        <v>31.26</v>
      </c>
      <c r="AA447">
        <v>13.5</v>
      </c>
      <c r="AB447">
        <v>0</v>
      </c>
      <c r="AC447">
        <v>0</v>
      </c>
      <c r="AD447">
        <v>1</v>
      </c>
      <c r="AE447">
        <v>0</v>
      </c>
      <c r="AF447" t="s">
        <v>53</v>
      </c>
      <c r="AG447">
        <v>0.48</v>
      </c>
      <c r="AH447">
        <v>2</v>
      </c>
      <c r="AI447">
        <v>39478755</v>
      </c>
      <c r="AJ447">
        <v>482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ROW(Source!A264)</f>
        <v>264</v>
      </c>
      <c r="B448">
        <v>39478756</v>
      </c>
      <c r="C448">
        <v>39478752</v>
      </c>
      <c r="D448">
        <v>36883554</v>
      </c>
      <c r="E448">
        <v>1</v>
      </c>
      <c r="F448">
        <v>1</v>
      </c>
      <c r="G448">
        <v>1</v>
      </c>
      <c r="H448">
        <v>2</v>
      </c>
      <c r="I448" t="s">
        <v>834</v>
      </c>
      <c r="J448" t="s">
        <v>835</v>
      </c>
      <c r="K448" t="s">
        <v>836</v>
      </c>
      <c r="L448">
        <v>1368</v>
      </c>
      <c r="N448">
        <v>1011</v>
      </c>
      <c r="O448" t="s">
        <v>802</v>
      </c>
      <c r="P448" t="s">
        <v>802</v>
      </c>
      <c r="Q448">
        <v>1</v>
      </c>
      <c r="X448">
        <v>0.39</v>
      </c>
      <c r="Y448">
        <v>0</v>
      </c>
      <c r="Z448">
        <v>65.709999999999994</v>
      </c>
      <c r="AA448">
        <v>11.6</v>
      </c>
      <c r="AB448">
        <v>0</v>
      </c>
      <c r="AC448">
        <v>0</v>
      </c>
      <c r="AD448">
        <v>1</v>
      </c>
      <c r="AE448">
        <v>0</v>
      </c>
      <c r="AF448" t="s">
        <v>53</v>
      </c>
      <c r="AG448">
        <v>0.58500000000000008</v>
      </c>
      <c r="AH448">
        <v>2</v>
      </c>
      <c r="AI448">
        <v>39478756</v>
      </c>
      <c r="AJ448">
        <v>483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ROW(Source!A264)</f>
        <v>264</v>
      </c>
      <c r="B449">
        <v>39478757</v>
      </c>
      <c r="C449">
        <v>39478752</v>
      </c>
      <c r="D449">
        <v>36802461</v>
      </c>
      <c r="E449">
        <v>1</v>
      </c>
      <c r="F449">
        <v>1</v>
      </c>
      <c r="G449">
        <v>1</v>
      </c>
      <c r="H449">
        <v>3</v>
      </c>
      <c r="I449" t="s">
        <v>1211</v>
      </c>
      <c r="J449" t="s">
        <v>1212</v>
      </c>
      <c r="K449" t="s">
        <v>1213</v>
      </c>
      <c r="L449">
        <v>1348</v>
      </c>
      <c r="N449">
        <v>1009</v>
      </c>
      <c r="O449" t="s">
        <v>34</v>
      </c>
      <c r="P449" t="s">
        <v>34</v>
      </c>
      <c r="Q449">
        <v>1000</v>
      </c>
      <c r="X449">
        <v>1E-3</v>
      </c>
      <c r="Y449">
        <v>30030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1E-3</v>
      </c>
      <c r="AH449">
        <v>2</v>
      </c>
      <c r="AI449">
        <v>39478757</v>
      </c>
      <c r="AJ449">
        <v>484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ROW(Source!A264)</f>
        <v>264</v>
      </c>
      <c r="B450">
        <v>39478758</v>
      </c>
      <c r="C450">
        <v>39478752</v>
      </c>
      <c r="D450">
        <v>36802469</v>
      </c>
      <c r="E450">
        <v>1</v>
      </c>
      <c r="F450">
        <v>1</v>
      </c>
      <c r="G450">
        <v>1</v>
      </c>
      <c r="H450">
        <v>3</v>
      </c>
      <c r="I450" t="s">
        <v>1197</v>
      </c>
      <c r="J450" t="s">
        <v>1198</v>
      </c>
      <c r="K450" t="s">
        <v>1199</v>
      </c>
      <c r="L450">
        <v>1346</v>
      </c>
      <c r="N450">
        <v>1009</v>
      </c>
      <c r="O450" t="s">
        <v>217</v>
      </c>
      <c r="P450" t="s">
        <v>217</v>
      </c>
      <c r="Q450">
        <v>1</v>
      </c>
      <c r="X450">
        <v>0.04</v>
      </c>
      <c r="Y450">
        <v>37.29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0.04</v>
      </c>
      <c r="AH450">
        <v>2</v>
      </c>
      <c r="AI450">
        <v>39478758</v>
      </c>
      <c r="AJ450">
        <v>485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ROW(Source!A264)</f>
        <v>264</v>
      </c>
      <c r="B451">
        <v>39478759</v>
      </c>
      <c r="C451">
        <v>39478752</v>
      </c>
      <c r="D451">
        <v>36797518</v>
      </c>
      <c r="E451">
        <v>17</v>
      </c>
      <c r="F451">
        <v>1</v>
      </c>
      <c r="G451">
        <v>1</v>
      </c>
      <c r="H451">
        <v>3</v>
      </c>
      <c r="I451" t="s">
        <v>592</v>
      </c>
      <c r="J451" t="s">
        <v>3</v>
      </c>
      <c r="K451" t="s">
        <v>593</v>
      </c>
      <c r="L451">
        <v>1358</v>
      </c>
      <c r="N451">
        <v>1010</v>
      </c>
      <c r="O451" t="s">
        <v>160</v>
      </c>
      <c r="P451" t="s">
        <v>160</v>
      </c>
      <c r="Q451">
        <v>10</v>
      </c>
      <c r="X451">
        <v>4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 t="s">
        <v>3</v>
      </c>
      <c r="AG451">
        <v>4</v>
      </c>
      <c r="AH451">
        <v>2</v>
      </c>
      <c r="AI451">
        <v>39478759</v>
      </c>
      <c r="AJ451">
        <v>486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ROW(Source!A264)</f>
        <v>264</v>
      </c>
      <c r="B452">
        <v>39478760</v>
      </c>
      <c r="C452">
        <v>39478752</v>
      </c>
      <c r="D452">
        <v>36804719</v>
      </c>
      <c r="E452">
        <v>1</v>
      </c>
      <c r="F452">
        <v>1</v>
      </c>
      <c r="G452">
        <v>1</v>
      </c>
      <c r="H452">
        <v>3</v>
      </c>
      <c r="I452" t="s">
        <v>1217</v>
      </c>
      <c r="J452" t="s">
        <v>1218</v>
      </c>
      <c r="K452" t="s">
        <v>1219</v>
      </c>
      <c r="L452">
        <v>1346</v>
      </c>
      <c r="N452">
        <v>1009</v>
      </c>
      <c r="O452" t="s">
        <v>217</v>
      </c>
      <c r="P452" t="s">
        <v>217</v>
      </c>
      <c r="Q452">
        <v>1</v>
      </c>
      <c r="X452">
        <v>20</v>
      </c>
      <c r="Y452">
        <v>6.5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20</v>
      </c>
      <c r="AH452">
        <v>2</v>
      </c>
      <c r="AI452">
        <v>39478760</v>
      </c>
      <c r="AJ452">
        <v>488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ROW(Source!A264)</f>
        <v>264</v>
      </c>
      <c r="B453">
        <v>39478761</v>
      </c>
      <c r="C453">
        <v>39478752</v>
      </c>
      <c r="D453">
        <v>36796579</v>
      </c>
      <c r="E453">
        <v>17</v>
      </c>
      <c r="F453">
        <v>1</v>
      </c>
      <c r="G453">
        <v>1</v>
      </c>
      <c r="H453">
        <v>3</v>
      </c>
      <c r="I453" t="s">
        <v>618</v>
      </c>
      <c r="J453" t="s">
        <v>3</v>
      </c>
      <c r="K453" t="s">
        <v>619</v>
      </c>
      <c r="L453">
        <v>1348</v>
      </c>
      <c r="N453">
        <v>1009</v>
      </c>
      <c r="O453" t="s">
        <v>34</v>
      </c>
      <c r="P453" t="s">
        <v>34</v>
      </c>
      <c r="Q453">
        <v>1000</v>
      </c>
      <c r="X453">
        <v>5.0000000000000001E-4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 t="s">
        <v>3</v>
      </c>
      <c r="AG453">
        <v>5.0000000000000001E-4</v>
      </c>
      <c r="AH453">
        <v>2</v>
      </c>
      <c r="AI453">
        <v>39478761</v>
      </c>
      <c r="AJ453">
        <v>489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ROW(Source!A264)</f>
        <v>264</v>
      </c>
      <c r="B454">
        <v>39478762</v>
      </c>
      <c r="C454">
        <v>39478752</v>
      </c>
      <c r="D454">
        <v>36805321</v>
      </c>
      <c r="E454">
        <v>1</v>
      </c>
      <c r="F454">
        <v>1</v>
      </c>
      <c r="G454">
        <v>1</v>
      </c>
      <c r="H454">
        <v>3</v>
      </c>
      <c r="I454" t="s">
        <v>1220</v>
      </c>
      <c r="J454" t="s">
        <v>1221</v>
      </c>
      <c r="K454" t="s">
        <v>1222</v>
      </c>
      <c r="L454">
        <v>1346</v>
      </c>
      <c r="N454">
        <v>1009</v>
      </c>
      <c r="O454" t="s">
        <v>217</v>
      </c>
      <c r="P454" t="s">
        <v>217</v>
      </c>
      <c r="Q454">
        <v>1</v>
      </c>
      <c r="X454">
        <v>0.8</v>
      </c>
      <c r="Y454">
        <v>13.56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0.8</v>
      </c>
      <c r="AH454">
        <v>2</v>
      </c>
      <c r="AI454">
        <v>39478762</v>
      </c>
      <c r="AJ454">
        <v>490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ROW(Source!A264)</f>
        <v>264</v>
      </c>
      <c r="B455">
        <v>39478763</v>
      </c>
      <c r="C455">
        <v>39478752</v>
      </c>
      <c r="D455">
        <v>36837018</v>
      </c>
      <c r="E455">
        <v>1</v>
      </c>
      <c r="F455">
        <v>1</v>
      </c>
      <c r="G455">
        <v>1</v>
      </c>
      <c r="H455">
        <v>3</v>
      </c>
      <c r="I455" t="s">
        <v>1223</v>
      </c>
      <c r="J455" t="s">
        <v>1224</v>
      </c>
      <c r="K455" t="s">
        <v>1225</v>
      </c>
      <c r="L455">
        <v>1348</v>
      </c>
      <c r="N455">
        <v>1009</v>
      </c>
      <c r="O455" t="s">
        <v>34</v>
      </c>
      <c r="P455" t="s">
        <v>34</v>
      </c>
      <c r="Q455">
        <v>1000</v>
      </c>
      <c r="X455">
        <v>8.0000000000000004E-4</v>
      </c>
      <c r="Y455">
        <v>12330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8.0000000000000004E-4</v>
      </c>
      <c r="AH455">
        <v>2</v>
      </c>
      <c r="AI455">
        <v>39478763</v>
      </c>
      <c r="AJ455">
        <v>491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ROW(Source!A264)</f>
        <v>264</v>
      </c>
      <c r="B456">
        <v>39478764</v>
      </c>
      <c r="C456">
        <v>39478752</v>
      </c>
      <c r="D456">
        <v>36838223</v>
      </c>
      <c r="E456">
        <v>1</v>
      </c>
      <c r="F456">
        <v>1</v>
      </c>
      <c r="G456">
        <v>1</v>
      </c>
      <c r="H456">
        <v>3</v>
      </c>
      <c r="I456" t="s">
        <v>1200</v>
      </c>
      <c r="J456" t="s">
        <v>1201</v>
      </c>
      <c r="K456" t="s">
        <v>1202</v>
      </c>
      <c r="L456">
        <v>1348</v>
      </c>
      <c r="N456">
        <v>1009</v>
      </c>
      <c r="O456" t="s">
        <v>34</v>
      </c>
      <c r="P456" t="s">
        <v>34</v>
      </c>
      <c r="Q456">
        <v>1000</v>
      </c>
      <c r="X456">
        <v>4.0000000000000002E-4</v>
      </c>
      <c r="Y456">
        <v>15119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4.0000000000000002E-4</v>
      </c>
      <c r="AH456">
        <v>2</v>
      </c>
      <c r="AI456">
        <v>39478764</v>
      </c>
      <c r="AJ456">
        <v>492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ROW(Source!A264)</f>
        <v>264</v>
      </c>
      <c r="B457">
        <v>39478765</v>
      </c>
      <c r="C457">
        <v>39478752</v>
      </c>
      <c r="D457">
        <v>36797701</v>
      </c>
      <c r="E457">
        <v>17</v>
      </c>
      <c r="F457">
        <v>1</v>
      </c>
      <c r="G457">
        <v>1</v>
      </c>
      <c r="H457">
        <v>3</v>
      </c>
      <c r="I457" t="s">
        <v>1263</v>
      </c>
      <c r="J457" t="s">
        <v>3</v>
      </c>
      <c r="K457" t="s">
        <v>1264</v>
      </c>
      <c r="L457">
        <v>1346</v>
      </c>
      <c r="N457">
        <v>1009</v>
      </c>
      <c r="O457" t="s">
        <v>217</v>
      </c>
      <c r="P457" t="s">
        <v>217</v>
      </c>
      <c r="Q457">
        <v>1</v>
      </c>
      <c r="X457">
        <v>4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 t="s">
        <v>3</v>
      </c>
      <c r="AG457">
        <v>4</v>
      </c>
      <c r="AH457">
        <v>3</v>
      </c>
      <c r="AI457">
        <v>-1</v>
      </c>
      <c r="AJ457" t="s">
        <v>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ROW(Source!A264)</f>
        <v>264</v>
      </c>
      <c r="B458">
        <v>39478766</v>
      </c>
      <c r="C458">
        <v>39478752</v>
      </c>
      <c r="D458">
        <v>36838951</v>
      </c>
      <c r="E458">
        <v>1</v>
      </c>
      <c r="F458">
        <v>1</v>
      </c>
      <c r="G458">
        <v>1</v>
      </c>
      <c r="H458">
        <v>3</v>
      </c>
      <c r="I458" t="s">
        <v>1203</v>
      </c>
      <c r="J458" t="s">
        <v>1204</v>
      </c>
      <c r="K458" t="s">
        <v>1205</v>
      </c>
      <c r="L458">
        <v>1348</v>
      </c>
      <c r="N458">
        <v>1009</v>
      </c>
      <c r="O458" t="s">
        <v>34</v>
      </c>
      <c r="P458" t="s">
        <v>34</v>
      </c>
      <c r="Q458">
        <v>1000</v>
      </c>
      <c r="X458">
        <v>2.0000000000000001E-4</v>
      </c>
      <c r="Y458">
        <v>16950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3</v>
      </c>
      <c r="AG458">
        <v>2.0000000000000001E-4</v>
      </c>
      <c r="AH458">
        <v>2</v>
      </c>
      <c r="AI458">
        <v>39478766</v>
      </c>
      <c r="AJ458">
        <v>493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ROW(Source!A264)</f>
        <v>264</v>
      </c>
      <c r="B459">
        <v>39478767</v>
      </c>
      <c r="C459">
        <v>39478752</v>
      </c>
      <c r="D459">
        <v>36797696</v>
      </c>
      <c r="E459">
        <v>17</v>
      </c>
      <c r="F459">
        <v>1</v>
      </c>
      <c r="G459">
        <v>1</v>
      </c>
      <c r="H459">
        <v>3</v>
      </c>
      <c r="I459" t="s">
        <v>621</v>
      </c>
      <c r="J459" t="s">
        <v>3</v>
      </c>
      <c r="K459" t="s">
        <v>622</v>
      </c>
      <c r="L459">
        <v>1035</v>
      </c>
      <c r="N459">
        <v>1013</v>
      </c>
      <c r="O459" t="s">
        <v>152</v>
      </c>
      <c r="P459" t="s">
        <v>152</v>
      </c>
      <c r="Q459">
        <v>1</v>
      </c>
      <c r="X459">
        <v>10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 t="s">
        <v>3</v>
      </c>
      <c r="AG459">
        <v>10</v>
      </c>
      <c r="AH459">
        <v>2</v>
      </c>
      <c r="AI459">
        <v>39478767</v>
      </c>
      <c r="AJ459">
        <v>496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ROW(Source!A305)</f>
        <v>305</v>
      </c>
      <c r="B460">
        <v>39478785</v>
      </c>
      <c r="C460">
        <v>39478784</v>
      </c>
      <c r="D460">
        <v>37070090</v>
      </c>
      <c r="E460">
        <v>1</v>
      </c>
      <c r="F460">
        <v>1</v>
      </c>
      <c r="G460">
        <v>1</v>
      </c>
      <c r="H460">
        <v>1</v>
      </c>
      <c r="I460" t="s">
        <v>1226</v>
      </c>
      <c r="J460" t="s">
        <v>3</v>
      </c>
      <c r="K460" t="s">
        <v>1227</v>
      </c>
      <c r="L460">
        <v>1191</v>
      </c>
      <c r="N460">
        <v>1013</v>
      </c>
      <c r="O460" t="s">
        <v>796</v>
      </c>
      <c r="P460" t="s">
        <v>796</v>
      </c>
      <c r="Q460">
        <v>1</v>
      </c>
      <c r="X460">
        <v>1.46</v>
      </c>
      <c r="Y460">
        <v>0</v>
      </c>
      <c r="Z460">
        <v>0</v>
      </c>
      <c r="AA460">
        <v>0</v>
      </c>
      <c r="AB460">
        <v>8.9700000000000006</v>
      </c>
      <c r="AC460">
        <v>0</v>
      </c>
      <c r="AD460">
        <v>1</v>
      </c>
      <c r="AE460">
        <v>1</v>
      </c>
      <c r="AF460" t="s">
        <v>54</v>
      </c>
      <c r="AG460">
        <v>2.0147999999999997</v>
      </c>
      <c r="AH460">
        <v>2</v>
      </c>
      <c r="AI460">
        <v>39478785</v>
      </c>
      <c r="AJ460">
        <v>497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ROW(Source!A305)</f>
        <v>305</v>
      </c>
      <c r="B461">
        <v>39478786</v>
      </c>
      <c r="C461">
        <v>39478784</v>
      </c>
      <c r="D461">
        <v>37064876</v>
      </c>
      <c r="E461">
        <v>1</v>
      </c>
      <c r="F461">
        <v>1</v>
      </c>
      <c r="G461">
        <v>1</v>
      </c>
      <c r="H461">
        <v>1</v>
      </c>
      <c r="I461" t="s">
        <v>797</v>
      </c>
      <c r="J461" t="s">
        <v>3</v>
      </c>
      <c r="K461" t="s">
        <v>798</v>
      </c>
      <c r="L461">
        <v>1191</v>
      </c>
      <c r="N461">
        <v>1013</v>
      </c>
      <c r="O461" t="s">
        <v>796</v>
      </c>
      <c r="P461" t="s">
        <v>796</v>
      </c>
      <c r="Q461">
        <v>1</v>
      </c>
      <c r="X461">
        <v>0.01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2</v>
      </c>
      <c r="AF461" t="s">
        <v>53</v>
      </c>
      <c r="AG461">
        <v>1.4999999999999999E-2</v>
      </c>
      <c r="AH461">
        <v>2</v>
      </c>
      <c r="AI461">
        <v>39478786</v>
      </c>
      <c r="AJ461">
        <v>498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ROW(Source!A305)</f>
        <v>305</v>
      </c>
      <c r="B462">
        <v>39478787</v>
      </c>
      <c r="C462">
        <v>39478784</v>
      </c>
      <c r="D462">
        <v>36883554</v>
      </c>
      <c r="E462">
        <v>1</v>
      </c>
      <c r="F462">
        <v>1</v>
      </c>
      <c r="G462">
        <v>1</v>
      </c>
      <c r="H462">
        <v>2</v>
      </c>
      <c r="I462" t="s">
        <v>834</v>
      </c>
      <c r="J462" t="s">
        <v>835</v>
      </c>
      <c r="K462" t="s">
        <v>836</v>
      </c>
      <c r="L462">
        <v>1368</v>
      </c>
      <c r="N462">
        <v>1011</v>
      </c>
      <c r="O462" t="s">
        <v>802</v>
      </c>
      <c r="P462" t="s">
        <v>802</v>
      </c>
      <c r="Q462">
        <v>1</v>
      </c>
      <c r="X462">
        <v>0.01</v>
      </c>
      <c r="Y462">
        <v>0</v>
      </c>
      <c r="Z462">
        <v>65.709999999999994</v>
      </c>
      <c r="AA462">
        <v>11.6</v>
      </c>
      <c r="AB462">
        <v>0</v>
      </c>
      <c r="AC462">
        <v>0</v>
      </c>
      <c r="AD462">
        <v>1</v>
      </c>
      <c r="AE462">
        <v>0</v>
      </c>
      <c r="AF462" t="s">
        <v>53</v>
      </c>
      <c r="AG462">
        <v>1.4999999999999999E-2</v>
      </c>
      <c r="AH462">
        <v>2</v>
      </c>
      <c r="AI462">
        <v>39478787</v>
      </c>
      <c r="AJ462">
        <v>499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ROW(Source!A305)</f>
        <v>305</v>
      </c>
      <c r="B463">
        <v>39478788</v>
      </c>
      <c r="C463">
        <v>39478784</v>
      </c>
      <c r="D463">
        <v>36883858</v>
      </c>
      <c r="E463">
        <v>1</v>
      </c>
      <c r="F463">
        <v>1</v>
      </c>
      <c r="G463">
        <v>1</v>
      </c>
      <c r="H463">
        <v>2</v>
      </c>
      <c r="I463" t="s">
        <v>1139</v>
      </c>
      <c r="J463" t="s">
        <v>1140</v>
      </c>
      <c r="K463" t="s">
        <v>1141</v>
      </c>
      <c r="L463">
        <v>1368</v>
      </c>
      <c r="N463">
        <v>1011</v>
      </c>
      <c r="O463" t="s">
        <v>802</v>
      </c>
      <c r="P463" t="s">
        <v>802</v>
      </c>
      <c r="Q463">
        <v>1</v>
      </c>
      <c r="X463">
        <v>0.12</v>
      </c>
      <c r="Y463">
        <v>0</v>
      </c>
      <c r="Z463">
        <v>8.1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53</v>
      </c>
      <c r="AG463">
        <v>0.18</v>
      </c>
      <c r="AH463">
        <v>2</v>
      </c>
      <c r="AI463">
        <v>39478788</v>
      </c>
      <c r="AJ463">
        <v>500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ROW(Source!A305)</f>
        <v>305</v>
      </c>
      <c r="B464">
        <v>39478789</v>
      </c>
      <c r="C464">
        <v>39478784</v>
      </c>
      <c r="D464">
        <v>36803269</v>
      </c>
      <c r="E464">
        <v>1</v>
      </c>
      <c r="F464">
        <v>1</v>
      </c>
      <c r="G464">
        <v>1</v>
      </c>
      <c r="H464">
        <v>3</v>
      </c>
      <c r="I464" t="s">
        <v>1191</v>
      </c>
      <c r="J464" t="s">
        <v>1192</v>
      </c>
      <c r="K464" t="s">
        <v>1193</v>
      </c>
      <c r="L464">
        <v>1348</v>
      </c>
      <c r="N464">
        <v>1009</v>
      </c>
      <c r="O464" t="s">
        <v>34</v>
      </c>
      <c r="P464" t="s">
        <v>34</v>
      </c>
      <c r="Q464">
        <v>1000</v>
      </c>
      <c r="X464">
        <v>1.1E-4</v>
      </c>
      <c r="Y464">
        <v>10362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3</v>
      </c>
      <c r="AG464">
        <v>1.1E-4</v>
      </c>
      <c r="AH464">
        <v>2</v>
      </c>
      <c r="AI464">
        <v>39478789</v>
      </c>
      <c r="AJ464">
        <v>501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ROW(Source!A305)</f>
        <v>305</v>
      </c>
      <c r="B465">
        <v>39478790</v>
      </c>
      <c r="C465">
        <v>39478784</v>
      </c>
      <c r="D465">
        <v>36796210</v>
      </c>
      <c r="E465">
        <v>17</v>
      </c>
      <c r="F465">
        <v>1</v>
      </c>
      <c r="G465">
        <v>1</v>
      </c>
      <c r="H465">
        <v>3</v>
      </c>
      <c r="I465" t="s">
        <v>1265</v>
      </c>
      <c r="J465" t="s">
        <v>3</v>
      </c>
      <c r="K465" t="s">
        <v>1266</v>
      </c>
      <c r="L465">
        <v>1339</v>
      </c>
      <c r="N465">
        <v>1007</v>
      </c>
      <c r="O465" t="s">
        <v>25</v>
      </c>
      <c r="P465" t="s">
        <v>25</v>
      </c>
      <c r="Q465">
        <v>1</v>
      </c>
      <c r="X465">
        <v>2.9999999999999997E-4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 t="s">
        <v>3</v>
      </c>
      <c r="AG465">
        <v>2.9999999999999997E-4</v>
      </c>
      <c r="AH465">
        <v>3</v>
      </c>
      <c r="AI465">
        <v>-1</v>
      </c>
      <c r="AJ465" t="s">
        <v>3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ROW(Source!A305)</f>
        <v>305</v>
      </c>
      <c r="B466">
        <v>39478791</v>
      </c>
      <c r="C466">
        <v>39478784</v>
      </c>
      <c r="D466">
        <v>36826587</v>
      </c>
      <c r="E466">
        <v>1</v>
      </c>
      <c r="F466">
        <v>1</v>
      </c>
      <c r="G466">
        <v>1</v>
      </c>
      <c r="H466">
        <v>3</v>
      </c>
      <c r="I466" t="s">
        <v>1228</v>
      </c>
      <c r="J466" t="s">
        <v>1229</v>
      </c>
      <c r="K466" t="s">
        <v>1230</v>
      </c>
      <c r="L466">
        <v>1348</v>
      </c>
      <c r="N466">
        <v>1009</v>
      </c>
      <c r="O466" t="s">
        <v>34</v>
      </c>
      <c r="P466" t="s">
        <v>34</v>
      </c>
      <c r="Q466">
        <v>1000</v>
      </c>
      <c r="X466">
        <v>4.2999999999999999E-4</v>
      </c>
      <c r="Y466">
        <v>6508.75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4.2999999999999999E-4</v>
      </c>
      <c r="AH466">
        <v>2</v>
      </c>
      <c r="AI466">
        <v>39478791</v>
      </c>
      <c r="AJ466">
        <v>502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ROW(Source!A305)</f>
        <v>305</v>
      </c>
      <c r="B467">
        <v>39478792</v>
      </c>
      <c r="C467">
        <v>39478784</v>
      </c>
      <c r="D467">
        <v>36797832</v>
      </c>
      <c r="E467">
        <v>17</v>
      </c>
      <c r="F467">
        <v>1</v>
      </c>
      <c r="G467">
        <v>1</v>
      </c>
      <c r="H467">
        <v>3</v>
      </c>
      <c r="I467" t="s">
        <v>657</v>
      </c>
      <c r="J467" t="s">
        <v>3</v>
      </c>
      <c r="K467" t="s">
        <v>658</v>
      </c>
      <c r="L467">
        <v>1354</v>
      </c>
      <c r="N467">
        <v>1010</v>
      </c>
      <c r="O467" t="s">
        <v>415</v>
      </c>
      <c r="P467" t="s">
        <v>415</v>
      </c>
      <c r="Q467">
        <v>1</v>
      </c>
      <c r="X467">
        <v>1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 t="s">
        <v>3</v>
      </c>
      <c r="AG467">
        <v>1</v>
      </c>
      <c r="AH467">
        <v>2</v>
      </c>
      <c r="AI467">
        <v>39478792</v>
      </c>
      <c r="AJ467">
        <v>504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ROW(Source!A308)</f>
        <v>308</v>
      </c>
      <c r="B468">
        <v>39478804</v>
      </c>
      <c r="C468">
        <v>39478803</v>
      </c>
      <c r="D468">
        <v>37065248</v>
      </c>
      <c r="E468">
        <v>1</v>
      </c>
      <c r="F468">
        <v>1</v>
      </c>
      <c r="G468">
        <v>1</v>
      </c>
      <c r="H468">
        <v>1</v>
      </c>
      <c r="I468" t="s">
        <v>895</v>
      </c>
      <c r="J468" t="s">
        <v>3</v>
      </c>
      <c r="K468" t="s">
        <v>896</v>
      </c>
      <c r="L468">
        <v>1191</v>
      </c>
      <c r="N468">
        <v>1013</v>
      </c>
      <c r="O468" t="s">
        <v>796</v>
      </c>
      <c r="P468" t="s">
        <v>796</v>
      </c>
      <c r="Q468">
        <v>1</v>
      </c>
      <c r="X468">
        <v>9</v>
      </c>
      <c r="Y468">
        <v>0</v>
      </c>
      <c r="Z468">
        <v>0</v>
      </c>
      <c r="AA468">
        <v>0</v>
      </c>
      <c r="AB468">
        <v>8.5299999999999994</v>
      </c>
      <c r="AC468">
        <v>0</v>
      </c>
      <c r="AD468">
        <v>1</v>
      </c>
      <c r="AE468">
        <v>1</v>
      </c>
      <c r="AF468" t="s">
        <v>54</v>
      </c>
      <c r="AG468">
        <v>12.42</v>
      </c>
      <c r="AH468">
        <v>2</v>
      </c>
      <c r="AI468">
        <v>39478804</v>
      </c>
      <c r="AJ468">
        <v>505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ROW(Source!A308)</f>
        <v>308</v>
      </c>
      <c r="B469">
        <v>39478805</v>
      </c>
      <c r="C469">
        <v>39478803</v>
      </c>
      <c r="D469">
        <v>37064876</v>
      </c>
      <c r="E469">
        <v>1</v>
      </c>
      <c r="F469">
        <v>1</v>
      </c>
      <c r="G469">
        <v>1</v>
      </c>
      <c r="H469">
        <v>1</v>
      </c>
      <c r="I469" t="s">
        <v>797</v>
      </c>
      <c r="J469" t="s">
        <v>3</v>
      </c>
      <c r="K469" t="s">
        <v>798</v>
      </c>
      <c r="L469">
        <v>1191</v>
      </c>
      <c r="N469">
        <v>1013</v>
      </c>
      <c r="O469" t="s">
        <v>796</v>
      </c>
      <c r="P469" t="s">
        <v>796</v>
      </c>
      <c r="Q469">
        <v>1</v>
      </c>
      <c r="X469">
        <v>0.08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53</v>
      </c>
      <c r="AG469">
        <v>0.12</v>
      </c>
      <c r="AH469">
        <v>2</v>
      </c>
      <c r="AI469">
        <v>39478805</v>
      </c>
      <c r="AJ469">
        <v>506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ROW(Source!A308)</f>
        <v>308</v>
      </c>
      <c r="B470">
        <v>39478806</v>
      </c>
      <c r="C470">
        <v>39478803</v>
      </c>
      <c r="D470">
        <v>36882159</v>
      </c>
      <c r="E470">
        <v>1</v>
      </c>
      <c r="F470">
        <v>1</v>
      </c>
      <c r="G470">
        <v>1</v>
      </c>
      <c r="H470">
        <v>2</v>
      </c>
      <c r="I470" t="s">
        <v>825</v>
      </c>
      <c r="J470" t="s">
        <v>826</v>
      </c>
      <c r="K470" t="s">
        <v>827</v>
      </c>
      <c r="L470">
        <v>1368</v>
      </c>
      <c r="N470">
        <v>1011</v>
      </c>
      <c r="O470" t="s">
        <v>802</v>
      </c>
      <c r="P470" t="s">
        <v>802</v>
      </c>
      <c r="Q470">
        <v>1</v>
      </c>
      <c r="X470">
        <v>0.03</v>
      </c>
      <c r="Y470">
        <v>0</v>
      </c>
      <c r="Z470">
        <v>111.99</v>
      </c>
      <c r="AA470">
        <v>13.5</v>
      </c>
      <c r="AB470">
        <v>0</v>
      </c>
      <c r="AC470">
        <v>0</v>
      </c>
      <c r="AD470">
        <v>1</v>
      </c>
      <c r="AE470">
        <v>0</v>
      </c>
      <c r="AF470" t="s">
        <v>53</v>
      </c>
      <c r="AG470">
        <v>4.4999999999999998E-2</v>
      </c>
      <c r="AH470">
        <v>2</v>
      </c>
      <c r="AI470">
        <v>39478806</v>
      </c>
      <c r="AJ470">
        <v>507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ROW(Source!A308)</f>
        <v>308</v>
      </c>
      <c r="B471">
        <v>39478807</v>
      </c>
      <c r="C471">
        <v>39478803</v>
      </c>
      <c r="D471">
        <v>36882338</v>
      </c>
      <c r="E471">
        <v>1</v>
      </c>
      <c r="F471">
        <v>1</v>
      </c>
      <c r="G471">
        <v>1</v>
      </c>
      <c r="H471">
        <v>2</v>
      </c>
      <c r="I471" t="s">
        <v>1231</v>
      </c>
      <c r="J471" t="s">
        <v>1232</v>
      </c>
      <c r="K471" t="s">
        <v>1233</v>
      </c>
      <c r="L471">
        <v>1368</v>
      </c>
      <c r="N471">
        <v>1011</v>
      </c>
      <c r="O471" t="s">
        <v>802</v>
      </c>
      <c r="P471" t="s">
        <v>802</v>
      </c>
      <c r="Q471">
        <v>1</v>
      </c>
      <c r="X471">
        <v>2.0699999999999998</v>
      </c>
      <c r="Y471">
        <v>0</v>
      </c>
      <c r="Z471">
        <v>3.12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53</v>
      </c>
      <c r="AG471">
        <v>3.105</v>
      </c>
      <c r="AH471">
        <v>2</v>
      </c>
      <c r="AI471">
        <v>39478807</v>
      </c>
      <c r="AJ471">
        <v>508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ROW(Source!A308)</f>
        <v>308</v>
      </c>
      <c r="B472">
        <v>39478808</v>
      </c>
      <c r="C472">
        <v>39478803</v>
      </c>
      <c r="D472">
        <v>36883554</v>
      </c>
      <c r="E472">
        <v>1</v>
      </c>
      <c r="F472">
        <v>1</v>
      </c>
      <c r="G472">
        <v>1</v>
      </c>
      <c r="H472">
        <v>2</v>
      </c>
      <c r="I472" t="s">
        <v>834</v>
      </c>
      <c r="J472" t="s">
        <v>835</v>
      </c>
      <c r="K472" t="s">
        <v>836</v>
      </c>
      <c r="L472">
        <v>1368</v>
      </c>
      <c r="N472">
        <v>1011</v>
      </c>
      <c r="O472" t="s">
        <v>802</v>
      </c>
      <c r="P472" t="s">
        <v>802</v>
      </c>
      <c r="Q472">
        <v>1</v>
      </c>
      <c r="X472">
        <v>0.05</v>
      </c>
      <c r="Y472">
        <v>0</v>
      </c>
      <c r="Z472">
        <v>65.709999999999994</v>
      </c>
      <c r="AA472">
        <v>11.6</v>
      </c>
      <c r="AB472">
        <v>0</v>
      </c>
      <c r="AC472">
        <v>0</v>
      </c>
      <c r="AD472">
        <v>1</v>
      </c>
      <c r="AE472">
        <v>0</v>
      </c>
      <c r="AF472" t="s">
        <v>53</v>
      </c>
      <c r="AG472">
        <v>7.4999999999999997E-2</v>
      </c>
      <c r="AH472">
        <v>2</v>
      </c>
      <c r="AI472">
        <v>39478808</v>
      </c>
      <c r="AJ472">
        <v>509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ROW(Source!A308)</f>
        <v>308</v>
      </c>
      <c r="B473">
        <v>39478809</v>
      </c>
      <c r="C473">
        <v>39478803</v>
      </c>
      <c r="D473">
        <v>36796178</v>
      </c>
      <c r="E473">
        <v>17</v>
      </c>
      <c r="F473">
        <v>1</v>
      </c>
      <c r="G473">
        <v>1</v>
      </c>
      <c r="H473">
        <v>3</v>
      </c>
      <c r="I473" t="s">
        <v>672</v>
      </c>
      <c r="J473" t="s">
        <v>3</v>
      </c>
      <c r="K473" t="s">
        <v>673</v>
      </c>
      <c r="L473">
        <v>1348</v>
      </c>
      <c r="N473">
        <v>1009</v>
      </c>
      <c r="O473" t="s">
        <v>34</v>
      </c>
      <c r="P473" t="s">
        <v>34</v>
      </c>
      <c r="Q473">
        <v>1000</v>
      </c>
      <c r="X473">
        <v>1.4E-3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 t="s">
        <v>3</v>
      </c>
      <c r="AG473">
        <v>1.4E-3</v>
      </c>
      <c r="AH473">
        <v>2</v>
      </c>
      <c r="AI473">
        <v>39478809</v>
      </c>
      <c r="AJ473">
        <v>510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ROW(Source!A346)</f>
        <v>346</v>
      </c>
      <c r="B474">
        <v>39478996</v>
      </c>
      <c r="C474">
        <v>39478995</v>
      </c>
      <c r="D474">
        <v>37065946</v>
      </c>
      <c r="E474">
        <v>1</v>
      </c>
      <c r="F474">
        <v>1</v>
      </c>
      <c r="G474">
        <v>1</v>
      </c>
      <c r="H474">
        <v>1</v>
      </c>
      <c r="I474" t="s">
        <v>794</v>
      </c>
      <c r="J474" t="s">
        <v>3</v>
      </c>
      <c r="K474" t="s">
        <v>795</v>
      </c>
      <c r="L474">
        <v>1191</v>
      </c>
      <c r="N474">
        <v>1013</v>
      </c>
      <c r="O474" t="s">
        <v>796</v>
      </c>
      <c r="P474" t="s">
        <v>796</v>
      </c>
      <c r="Q474">
        <v>1</v>
      </c>
      <c r="X474">
        <v>158</v>
      </c>
      <c r="Y474">
        <v>0</v>
      </c>
      <c r="Z474">
        <v>0</v>
      </c>
      <c r="AA474">
        <v>0</v>
      </c>
      <c r="AB474">
        <v>7.87</v>
      </c>
      <c r="AC474">
        <v>0</v>
      </c>
      <c r="AD474">
        <v>1</v>
      </c>
      <c r="AE474">
        <v>1</v>
      </c>
      <c r="AF474" t="s">
        <v>3</v>
      </c>
      <c r="AG474">
        <v>158</v>
      </c>
      <c r="AH474">
        <v>2</v>
      </c>
      <c r="AI474">
        <v>39478996</v>
      </c>
      <c r="AJ474">
        <v>513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ROW(Source!A346)</f>
        <v>346</v>
      </c>
      <c r="B475">
        <v>39478997</v>
      </c>
      <c r="C475">
        <v>39478995</v>
      </c>
      <c r="D475">
        <v>37064876</v>
      </c>
      <c r="E475">
        <v>1</v>
      </c>
      <c r="F475">
        <v>1</v>
      </c>
      <c r="G475">
        <v>1</v>
      </c>
      <c r="H475">
        <v>1</v>
      </c>
      <c r="I475" t="s">
        <v>797</v>
      </c>
      <c r="J475" t="s">
        <v>3</v>
      </c>
      <c r="K475" t="s">
        <v>798</v>
      </c>
      <c r="L475">
        <v>1191</v>
      </c>
      <c r="N475">
        <v>1013</v>
      </c>
      <c r="O475" t="s">
        <v>796</v>
      </c>
      <c r="P475" t="s">
        <v>796</v>
      </c>
      <c r="Q475">
        <v>1</v>
      </c>
      <c r="X475">
        <v>3.82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2</v>
      </c>
      <c r="AF475" t="s">
        <v>3</v>
      </c>
      <c r="AG475">
        <v>3.82</v>
      </c>
      <c r="AH475">
        <v>2</v>
      </c>
      <c r="AI475">
        <v>39478997</v>
      </c>
      <c r="AJ475">
        <v>514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ROW(Source!A346)</f>
        <v>346</v>
      </c>
      <c r="B476">
        <v>39478998</v>
      </c>
      <c r="C476">
        <v>39478995</v>
      </c>
      <c r="D476">
        <v>36882452</v>
      </c>
      <c r="E476">
        <v>1</v>
      </c>
      <c r="F476">
        <v>1</v>
      </c>
      <c r="G476">
        <v>1</v>
      </c>
      <c r="H476">
        <v>2</v>
      </c>
      <c r="I476" t="s">
        <v>799</v>
      </c>
      <c r="J476" t="s">
        <v>800</v>
      </c>
      <c r="K476" t="s">
        <v>801</v>
      </c>
      <c r="L476">
        <v>1368</v>
      </c>
      <c r="N476">
        <v>1011</v>
      </c>
      <c r="O476" t="s">
        <v>802</v>
      </c>
      <c r="P476" t="s">
        <v>802</v>
      </c>
      <c r="Q476">
        <v>1</v>
      </c>
      <c r="X476">
        <v>3.82</v>
      </c>
      <c r="Y476">
        <v>0</v>
      </c>
      <c r="Z476">
        <v>31.26</v>
      </c>
      <c r="AA476">
        <v>13.5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3.82</v>
      </c>
      <c r="AH476">
        <v>2</v>
      </c>
      <c r="AI476">
        <v>39478998</v>
      </c>
      <c r="AJ476">
        <v>515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ROW(Source!A347)</f>
        <v>347</v>
      </c>
      <c r="B477">
        <v>39479000</v>
      </c>
      <c r="C477">
        <v>39478999</v>
      </c>
      <c r="D477">
        <v>37066837</v>
      </c>
      <c r="E477">
        <v>1</v>
      </c>
      <c r="F477">
        <v>1</v>
      </c>
      <c r="G477">
        <v>1</v>
      </c>
      <c r="H477">
        <v>1</v>
      </c>
      <c r="I477" t="s">
        <v>1049</v>
      </c>
      <c r="J477" t="s">
        <v>3</v>
      </c>
      <c r="K477" t="s">
        <v>1050</v>
      </c>
      <c r="L477">
        <v>1191</v>
      </c>
      <c r="N477">
        <v>1013</v>
      </c>
      <c r="O477" t="s">
        <v>796</v>
      </c>
      <c r="P477" t="s">
        <v>796</v>
      </c>
      <c r="Q477">
        <v>1</v>
      </c>
      <c r="X477">
        <v>34.659999999999997</v>
      </c>
      <c r="Y477">
        <v>0</v>
      </c>
      <c r="Z477">
        <v>0</v>
      </c>
      <c r="AA477">
        <v>0</v>
      </c>
      <c r="AB477">
        <v>8.31</v>
      </c>
      <c r="AC477">
        <v>0</v>
      </c>
      <c r="AD477">
        <v>1</v>
      </c>
      <c r="AE477">
        <v>1</v>
      </c>
      <c r="AF477" t="s">
        <v>3</v>
      </c>
      <c r="AG477">
        <v>34.659999999999997</v>
      </c>
      <c r="AH477">
        <v>2</v>
      </c>
      <c r="AI477">
        <v>39479000</v>
      </c>
      <c r="AJ477">
        <v>516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ROW(Source!A347)</f>
        <v>347</v>
      </c>
      <c r="B478">
        <v>39479001</v>
      </c>
      <c r="C478">
        <v>39478999</v>
      </c>
      <c r="D478">
        <v>37064876</v>
      </c>
      <c r="E478">
        <v>1</v>
      </c>
      <c r="F478">
        <v>1</v>
      </c>
      <c r="G478">
        <v>1</v>
      </c>
      <c r="H478">
        <v>1</v>
      </c>
      <c r="I478" t="s">
        <v>797</v>
      </c>
      <c r="J478" t="s">
        <v>3</v>
      </c>
      <c r="K478" t="s">
        <v>798</v>
      </c>
      <c r="L478">
        <v>1191</v>
      </c>
      <c r="N478">
        <v>1013</v>
      </c>
      <c r="O478" t="s">
        <v>796</v>
      </c>
      <c r="P478" t="s">
        <v>796</v>
      </c>
      <c r="Q478">
        <v>1</v>
      </c>
      <c r="X478">
        <v>0.1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2</v>
      </c>
      <c r="AF478" t="s">
        <v>3</v>
      </c>
      <c r="AG478">
        <v>0.1</v>
      </c>
      <c r="AH478">
        <v>2</v>
      </c>
      <c r="AI478">
        <v>39479001</v>
      </c>
      <c r="AJ478">
        <v>517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ROW(Source!A347)</f>
        <v>347</v>
      </c>
      <c r="B479">
        <v>39479002</v>
      </c>
      <c r="C479">
        <v>39478999</v>
      </c>
      <c r="D479">
        <v>36882452</v>
      </c>
      <c r="E479">
        <v>1</v>
      </c>
      <c r="F479">
        <v>1</v>
      </c>
      <c r="G479">
        <v>1</v>
      </c>
      <c r="H479">
        <v>2</v>
      </c>
      <c r="I479" t="s">
        <v>799</v>
      </c>
      <c r="J479" t="s">
        <v>800</v>
      </c>
      <c r="K479" t="s">
        <v>801</v>
      </c>
      <c r="L479">
        <v>1368</v>
      </c>
      <c r="N479">
        <v>1011</v>
      </c>
      <c r="O479" t="s">
        <v>802</v>
      </c>
      <c r="P479" t="s">
        <v>802</v>
      </c>
      <c r="Q479">
        <v>1</v>
      </c>
      <c r="X479">
        <v>0.1</v>
      </c>
      <c r="Y479">
        <v>0</v>
      </c>
      <c r="Z479">
        <v>31.26</v>
      </c>
      <c r="AA479">
        <v>13.5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0.1</v>
      </c>
      <c r="AH479">
        <v>2</v>
      </c>
      <c r="AI479">
        <v>39479002</v>
      </c>
      <c r="AJ479">
        <v>518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ROW(Source!A347)</f>
        <v>347</v>
      </c>
      <c r="B480">
        <v>39479003</v>
      </c>
      <c r="C480">
        <v>39478999</v>
      </c>
      <c r="D480">
        <v>36883789</v>
      </c>
      <c r="E480">
        <v>1</v>
      </c>
      <c r="F480">
        <v>1</v>
      </c>
      <c r="G480">
        <v>1</v>
      </c>
      <c r="H480">
        <v>2</v>
      </c>
      <c r="I480" t="s">
        <v>811</v>
      </c>
      <c r="J480" t="s">
        <v>812</v>
      </c>
      <c r="K480" t="s">
        <v>813</v>
      </c>
      <c r="L480">
        <v>1368</v>
      </c>
      <c r="N480">
        <v>1011</v>
      </c>
      <c r="O480" t="s">
        <v>802</v>
      </c>
      <c r="P480" t="s">
        <v>802</v>
      </c>
      <c r="Q480">
        <v>1</v>
      </c>
      <c r="X480">
        <v>3.3</v>
      </c>
      <c r="Y480">
        <v>0</v>
      </c>
      <c r="Z480">
        <v>1.2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3.3</v>
      </c>
      <c r="AH480">
        <v>2</v>
      </c>
      <c r="AI480">
        <v>39479003</v>
      </c>
      <c r="AJ480">
        <v>519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ROW(Source!A347)</f>
        <v>347</v>
      </c>
      <c r="B481">
        <v>39479004</v>
      </c>
      <c r="C481">
        <v>39478999</v>
      </c>
      <c r="D481">
        <v>36800140</v>
      </c>
      <c r="E481">
        <v>1</v>
      </c>
      <c r="F481">
        <v>1</v>
      </c>
      <c r="G481">
        <v>1</v>
      </c>
      <c r="H481">
        <v>3</v>
      </c>
      <c r="I481" t="s">
        <v>814</v>
      </c>
      <c r="J481" t="s">
        <v>815</v>
      </c>
      <c r="K481" t="s">
        <v>816</v>
      </c>
      <c r="L481">
        <v>1339</v>
      </c>
      <c r="N481">
        <v>1007</v>
      </c>
      <c r="O481" t="s">
        <v>25</v>
      </c>
      <c r="P481" t="s">
        <v>25</v>
      </c>
      <c r="Q481">
        <v>1</v>
      </c>
      <c r="X481">
        <v>0.43</v>
      </c>
      <c r="Y481">
        <v>38.51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683</v>
      </c>
      <c r="AG481">
        <v>0</v>
      </c>
      <c r="AH481">
        <v>2</v>
      </c>
      <c r="AI481">
        <v>39479004</v>
      </c>
      <c r="AJ481">
        <v>520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ROW(Source!A347)</f>
        <v>347</v>
      </c>
      <c r="B482">
        <v>39479005</v>
      </c>
      <c r="C482">
        <v>39478999</v>
      </c>
      <c r="D482">
        <v>36800159</v>
      </c>
      <c r="E482">
        <v>1</v>
      </c>
      <c r="F482">
        <v>1</v>
      </c>
      <c r="G482">
        <v>1</v>
      </c>
      <c r="H482">
        <v>3</v>
      </c>
      <c r="I482" t="s">
        <v>817</v>
      </c>
      <c r="J482" t="s">
        <v>818</v>
      </c>
      <c r="K482" t="s">
        <v>819</v>
      </c>
      <c r="L482">
        <v>1339</v>
      </c>
      <c r="N482">
        <v>1007</v>
      </c>
      <c r="O482" t="s">
        <v>25</v>
      </c>
      <c r="P482" t="s">
        <v>25</v>
      </c>
      <c r="Q482">
        <v>1</v>
      </c>
      <c r="X482">
        <v>2.74</v>
      </c>
      <c r="Y482">
        <v>6.22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683</v>
      </c>
      <c r="AG482">
        <v>0</v>
      </c>
      <c r="AH482">
        <v>2</v>
      </c>
      <c r="AI482">
        <v>39479005</v>
      </c>
      <c r="AJ482">
        <v>521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ROW(Source!A347)</f>
        <v>347</v>
      </c>
      <c r="B483">
        <v>39479006</v>
      </c>
      <c r="C483">
        <v>39478999</v>
      </c>
      <c r="D483">
        <v>36799082</v>
      </c>
      <c r="E483">
        <v>17</v>
      </c>
      <c r="F483">
        <v>1</v>
      </c>
      <c r="G483">
        <v>1</v>
      </c>
      <c r="H483">
        <v>3</v>
      </c>
      <c r="I483" t="s">
        <v>1251</v>
      </c>
      <c r="J483" t="s">
        <v>3</v>
      </c>
      <c r="K483" t="s">
        <v>1252</v>
      </c>
      <c r="L483">
        <v>1348</v>
      </c>
      <c r="N483">
        <v>1009</v>
      </c>
      <c r="O483" t="s">
        <v>34</v>
      </c>
      <c r="P483" t="s">
        <v>34</v>
      </c>
      <c r="Q483">
        <v>1000</v>
      </c>
      <c r="X483">
        <v>0.22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 t="s">
        <v>683</v>
      </c>
      <c r="AG483">
        <v>0</v>
      </c>
      <c r="AH483">
        <v>3</v>
      </c>
      <c r="AI483">
        <v>-1</v>
      </c>
      <c r="AJ483" t="s">
        <v>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ROW(Source!A348)</f>
        <v>348</v>
      </c>
      <c r="B484">
        <v>39479009</v>
      </c>
      <c r="C484">
        <v>39479008</v>
      </c>
      <c r="D484">
        <v>37070090</v>
      </c>
      <c r="E484">
        <v>1</v>
      </c>
      <c r="F484">
        <v>1</v>
      </c>
      <c r="G484">
        <v>1</v>
      </c>
      <c r="H484">
        <v>1</v>
      </c>
      <c r="I484" t="s">
        <v>1226</v>
      </c>
      <c r="J484" t="s">
        <v>3</v>
      </c>
      <c r="K484" t="s">
        <v>1227</v>
      </c>
      <c r="L484">
        <v>1191</v>
      </c>
      <c r="N484">
        <v>1013</v>
      </c>
      <c r="O484" t="s">
        <v>796</v>
      </c>
      <c r="P484" t="s">
        <v>796</v>
      </c>
      <c r="Q484">
        <v>1</v>
      </c>
      <c r="X484">
        <v>75.7</v>
      </c>
      <c r="Y484">
        <v>0</v>
      </c>
      <c r="Z484">
        <v>0</v>
      </c>
      <c r="AA484">
        <v>0</v>
      </c>
      <c r="AB484">
        <v>8.9700000000000006</v>
      </c>
      <c r="AC484">
        <v>0</v>
      </c>
      <c r="AD484">
        <v>1</v>
      </c>
      <c r="AE484">
        <v>1</v>
      </c>
      <c r="AF484" t="s">
        <v>54</v>
      </c>
      <c r="AG484">
        <v>104.46599999999999</v>
      </c>
      <c r="AH484">
        <v>2</v>
      </c>
      <c r="AI484">
        <v>39479009</v>
      </c>
      <c r="AJ484">
        <v>522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ROW(Source!A348)</f>
        <v>348</v>
      </c>
      <c r="B485">
        <v>39479010</v>
      </c>
      <c r="C485">
        <v>39479008</v>
      </c>
      <c r="D485">
        <v>37064876</v>
      </c>
      <c r="E485">
        <v>1</v>
      </c>
      <c r="F485">
        <v>1</v>
      </c>
      <c r="G485">
        <v>1</v>
      </c>
      <c r="H485">
        <v>1</v>
      </c>
      <c r="I485" t="s">
        <v>797</v>
      </c>
      <c r="J485" t="s">
        <v>3</v>
      </c>
      <c r="K485" t="s">
        <v>798</v>
      </c>
      <c r="L485">
        <v>1191</v>
      </c>
      <c r="N485">
        <v>1013</v>
      </c>
      <c r="O485" t="s">
        <v>796</v>
      </c>
      <c r="P485" t="s">
        <v>796</v>
      </c>
      <c r="Q485">
        <v>1</v>
      </c>
      <c r="X485">
        <v>6.06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2</v>
      </c>
      <c r="AF485" t="s">
        <v>53</v>
      </c>
      <c r="AG485">
        <v>9.0899999999999981</v>
      </c>
      <c r="AH485">
        <v>2</v>
      </c>
      <c r="AI485">
        <v>39479010</v>
      </c>
      <c r="AJ485">
        <v>523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ROW(Source!A348)</f>
        <v>348</v>
      </c>
      <c r="B486">
        <v>39479011</v>
      </c>
      <c r="C486">
        <v>39479008</v>
      </c>
      <c r="D486">
        <v>36882159</v>
      </c>
      <c r="E486">
        <v>1</v>
      </c>
      <c r="F486">
        <v>1</v>
      </c>
      <c r="G486">
        <v>1</v>
      </c>
      <c r="H486">
        <v>2</v>
      </c>
      <c r="I486" t="s">
        <v>825</v>
      </c>
      <c r="J486" t="s">
        <v>826</v>
      </c>
      <c r="K486" t="s">
        <v>827</v>
      </c>
      <c r="L486">
        <v>1368</v>
      </c>
      <c r="N486">
        <v>1011</v>
      </c>
      <c r="O486" t="s">
        <v>802</v>
      </c>
      <c r="P486" t="s">
        <v>802</v>
      </c>
      <c r="Q486">
        <v>1</v>
      </c>
      <c r="X486">
        <v>0.14000000000000001</v>
      </c>
      <c r="Y486">
        <v>0</v>
      </c>
      <c r="Z486">
        <v>111.99</v>
      </c>
      <c r="AA486">
        <v>13.5</v>
      </c>
      <c r="AB486">
        <v>0</v>
      </c>
      <c r="AC486">
        <v>0</v>
      </c>
      <c r="AD486">
        <v>1</v>
      </c>
      <c r="AE486">
        <v>0</v>
      </c>
      <c r="AF486" t="s">
        <v>53</v>
      </c>
      <c r="AG486">
        <v>0.21000000000000002</v>
      </c>
      <c r="AH486">
        <v>2</v>
      </c>
      <c r="AI486">
        <v>39479011</v>
      </c>
      <c r="AJ486">
        <v>524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ROW(Source!A348)</f>
        <v>348</v>
      </c>
      <c r="B487">
        <v>39479012</v>
      </c>
      <c r="C487">
        <v>39479008</v>
      </c>
      <c r="D487">
        <v>36882452</v>
      </c>
      <c r="E487">
        <v>1</v>
      </c>
      <c r="F487">
        <v>1</v>
      </c>
      <c r="G487">
        <v>1</v>
      </c>
      <c r="H487">
        <v>2</v>
      </c>
      <c r="I487" t="s">
        <v>799</v>
      </c>
      <c r="J487" t="s">
        <v>800</v>
      </c>
      <c r="K487" t="s">
        <v>801</v>
      </c>
      <c r="L487">
        <v>1368</v>
      </c>
      <c r="N487">
        <v>1011</v>
      </c>
      <c r="O487" t="s">
        <v>802</v>
      </c>
      <c r="P487" t="s">
        <v>802</v>
      </c>
      <c r="Q487">
        <v>1</v>
      </c>
      <c r="X487">
        <v>2.58</v>
      </c>
      <c r="Y487">
        <v>0</v>
      </c>
      <c r="Z487">
        <v>31.26</v>
      </c>
      <c r="AA487">
        <v>13.5</v>
      </c>
      <c r="AB487">
        <v>0</v>
      </c>
      <c r="AC487">
        <v>0</v>
      </c>
      <c r="AD487">
        <v>1</v>
      </c>
      <c r="AE487">
        <v>0</v>
      </c>
      <c r="AF487" t="s">
        <v>53</v>
      </c>
      <c r="AG487">
        <v>3.87</v>
      </c>
      <c r="AH487">
        <v>2</v>
      </c>
      <c r="AI487">
        <v>39479012</v>
      </c>
      <c r="AJ487">
        <v>525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ROW(Source!A348)</f>
        <v>348</v>
      </c>
      <c r="B488">
        <v>39479013</v>
      </c>
      <c r="C488">
        <v>39479008</v>
      </c>
      <c r="D488">
        <v>36883554</v>
      </c>
      <c r="E488">
        <v>1</v>
      </c>
      <c r="F488">
        <v>1</v>
      </c>
      <c r="G488">
        <v>1</v>
      </c>
      <c r="H488">
        <v>2</v>
      </c>
      <c r="I488" t="s">
        <v>834</v>
      </c>
      <c r="J488" t="s">
        <v>835</v>
      </c>
      <c r="K488" t="s">
        <v>836</v>
      </c>
      <c r="L488">
        <v>1368</v>
      </c>
      <c r="N488">
        <v>1011</v>
      </c>
      <c r="O488" t="s">
        <v>802</v>
      </c>
      <c r="P488" t="s">
        <v>802</v>
      </c>
      <c r="Q488">
        <v>1</v>
      </c>
      <c r="X488">
        <v>3.34</v>
      </c>
      <c r="Y488">
        <v>0</v>
      </c>
      <c r="Z488">
        <v>65.709999999999994</v>
      </c>
      <c r="AA488">
        <v>11.6</v>
      </c>
      <c r="AB488">
        <v>0</v>
      </c>
      <c r="AC488">
        <v>0</v>
      </c>
      <c r="AD488">
        <v>1</v>
      </c>
      <c r="AE488">
        <v>0</v>
      </c>
      <c r="AF488" t="s">
        <v>53</v>
      </c>
      <c r="AG488">
        <v>5.01</v>
      </c>
      <c r="AH488">
        <v>2</v>
      </c>
      <c r="AI488">
        <v>39479013</v>
      </c>
      <c r="AJ488">
        <v>526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ROW(Source!A348)</f>
        <v>348</v>
      </c>
      <c r="B489">
        <v>39479014</v>
      </c>
      <c r="C489">
        <v>39479008</v>
      </c>
      <c r="D489">
        <v>36804607</v>
      </c>
      <c r="E489">
        <v>1</v>
      </c>
      <c r="F489">
        <v>1</v>
      </c>
      <c r="G489">
        <v>1</v>
      </c>
      <c r="H489">
        <v>3</v>
      </c>
      <c r="I489" t="s">
        <v>1234</v>
      </c>
      <c r="J489" t="s">
        <v>1235</v>
      </c>
      <c r="K489" t="s">
        <v>1236</v>
      </c>
      <c r="L489">
        <v>1348</v>
      </c>
      <c r="N489">
        <v>1009</v>
      </c>
      <c r="O489" t="s">
        <v>34</v>
      </c>
      <c r="P489" t="s">
        <v>34</v>
      </c>
      <c r="Q489">
        <v>1000</v>
      </c>
      <c r="X489">
        <v>6.3200000000000001E-3</v>
      </c>
      <c r="Y489">
        <v>25425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6.3200000000000001E-3</v>
      </c>
      <c r="AH489">
        <v>2</v>
      </c>
      <c r="AI489">
        <v>39479014</v>
      </c>
      <c r="AJ489">
        <v>527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ROW(Source!A348)</f>
        <v>348</v>
      </c>
      <c r="B490">
        <v>39479015</v>
      </c>
      <c r="C490">
        <v>39479008</v>
      </c>
      <c r="D490">
        <v>36807340</v>
      </c>
      <c r="E490">
        <v>1</v>
      </c>
      <c r="F490">
        <v>1</v>
      </c>
      <c r="G490">
        <v>1</v>
      </c>
      <c r="H490">
        <v>3</v>
      </c>
      <c r="I490" t="s">
        <v>1194</v>
      </c>
      <c r="J490" t="s">
        <v>1195</v>
      </c>
      <c r="K490" t="s">
        <v>1196</v>
      </c>
      <c r="L490">
        <v>1339</v>
      </c>
      <c r="N490">
        <v>1007</v>
      </c>
      <c r="O490" t="s">
        <v>25</v>
      </c>
      <c r="P490" t="s">
        <v>25</v>
      </c>
      <c r="Q490">
        <v>1</v>
      </c>
      <c r="X490">
        <v>5.0500000000000003E-2</v>
      </c>
      <c r="Y490">
        <v>485.9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5.0500000000000003E-2</v>
      </c>
      <c r="AH490">
        <v>2</v>
      </c>
      <c r="AI490">
        <v>39479015</v>
      </c>
      <c r="AJ490">
        <v>528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ROW(Source!A348)</f>
        <v>348</v>
      </c>
      <c r="B491">
        <v>39479016</v>
      </c>
      <c r="C491">
        <v>39479008</v>
      </c>
      <c r="D491">
        <v>36847307</v>
      </c>
      <c r="E491">
        <v>1</v>
      </c>
      <c r="F491">
        <v>1</v>
      </c>
      <c r="G491">
        <v>1</v>
      </c>
      <c r="H491">
        <v>3</v>
      </c>
      <c r="I491" t="s">
        <v>1237</v>
      </c>
      <c r="J491" t="s">
        <v>1238</v>
      </c>
      <c r="K491" t="s">
        <v>1239</v>
      </c>
      <c r="L491">
        <v>1355</v>
      </c>
      <c r="N491">
        <v>1010</v>
      </c>
      <c r="O491" t="s">
        <v>429</v>
      </c>
      <c r="P491" t="s">
        <v>429</v>
      </c>
      <c r="Q491">
        <v>100</v>
      </c>
      <c r="X491">
        <v>2.5299999999999998</v>
      </c>
      <c r="Y491">
        <v>180.69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2.5299999999999998</v>
      </c>
      <c r="AH491">
        <v>2</v>
      </c>
      <c r="AI491">
        <v>39479016</v>
      </c>
      <c r="AJ491">
        <v>529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ROW(Source!A348)</f>
        <v>348</v>
      </c>
      <c r="B492">
        <v>39479017</v>
      </c>
      <c r="C492">
        <v>39479008</v>
      </c>
      <c r="D492">
        <v>36847308</v>
      </c>
      <c r="E492">
        <v>1</v>
      </c>
      <c r="F492">
        <v>1</v>
      </c>
      <c r="G492">
        <v>1</v>
      </c>
      <c r="H492">
        <v>3</v>
      </c>
      <c r="I492" t="s">
        <v>1240</v>
      </c>
      <c r="J492" t="s">
        <v>1241</v>
      </c>
      <c r="K492" t="s">
        <v>1242</v>
      </c>
      <c r="L492">
        <v>1355</v>
      </c>
      <c r="N492">
        <v>1010</v>
      </c>
      <c r="O492" t="s">
        <v>429</v>
      </c>
      <c r="P492" t="s">
        <v>429</v>
      </c>
      <c r="Q492">
        <v>100</v>
      </c>
      <c r="X492">
        <v>2.5299999999999998</v>
      </c>
      <c r="Y492">
        <v>187.47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2.5299999999999998</v>
      </c>
      <c r="AH492">
        <v>2</v>
      </c>
      <c r="AI492">
        <v>39479017</v>
      </c>
      <c r="AJ492">
        <v>530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ROW(Source!A348)</f>
        <v>348</v>
      </c>
      <c r="B493">
        <v>39479018</v>
      </c>
      <c r="C493">
        <v>39479008</v>
      </c>
      <c r="D493">
        <v>36797746</v>
      </c>
      <c r="E493">
        <v>17</v>
      </c>
      <c r="F493">
        <v>1</v>
      </c>
      <c r="G493">
        <v>1</v>
      </c>
      <c r="H493">
        <v>3</v>
      </c>
      <c r="I493" t="s">
        <v>695</v>
      </c>
      <c r="J493" t="s">
        <v>3</v>
      </c>
      <c r="K493" t="s">
        <v>696</v>
      </c>
      <c r="L493">
        <v>1033</v>
      </c>
      <c r="N493">
        <v>1013</v>
      </c>
      <c r="O493" t="s">
        <v>692</v>
      </c>
      <c r="P493" t="s">
        <v>692</v>
      </c>
      <c r="Q493">
        <v>1</v>
      </c>
      <c r="X493">
        <v>100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 t="s">
        <v>3</v>
      </c>
      <c r="AG493">
        <v>100</v>
      </c>
      <c r="AH493">
        <v>2</v>
      </c>
      <c r="AI493">
        <v>39479018</v>
      </c>
      <c r="AJ493">
        <v>531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ROW(Source!A351)</f>
        <v>351</v>
      </c>
      <c r="B494">
        <v>39479044</v>
      </c>
      <c r="C494">
        <v>39479043</v>
      </c>
      <c r="D494">
        <v>37082223</v>
      </c>
      <c r="E494">
        <v>1</v>
      </c>
      <c r="F494">
        <v>1</v>
      </c>
      <c r="G494">
        <v>1</v>
      </c>
      <c r="H494">
        <v>1</v>
      </c>
      <c r="I494" t="s">
        <v>1114</v>
      </c>
      <c r="J494" t="s">
        <v>3</v>
      </c>
      <c r="K494" t="s">
        <v>1115</v>
      </c>
      <c r="L494">
        <v>1191</v>
      </c>
      <c r="N494">
        <v>1013</v>
      </c>
      <c r="O494" t="s">
        <v>796</v>
      </c>
      <c r="P494" t="s">
        <v>796</v>
      </c>
      <c r="Q494">
        <v>1</v>
      </c>
      <c r="X494">
        <v>103</v>
      </c>
      <c r="Y494">
        <v>0</v>
      </c>
      <c r="Z494">
        <v>0</v>
      </c>
      <c r="AA494">
        <v>0</v>
      </c>
      <c r="AB494">
        <v>9.76</v>
      </c>
      <c r="AC494">
        <v>0</v>
      </c>
      <c r="AD494">
        <v>1</v>
      </c>
      <c r="AE494">
        <v>1</v>
      </c>
      <c r="AF494" t="s">
        <v>54</v>
      </c>
      <c r="AG494">
        <v>142.13999999999999</v>
      </c>
      <c r="AH494">
        <v>2</v>
      </c>
      <c r="AI494">
        <v>39479044</v>
      </c>
      <c r="AJ494">
        <v>533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ROW(Source!A351)</f>
        <v>351</v>
      </c>
      <c r="B495">
        <v>39479045</v>
      </c>
      <c r="C495">
        <v>39479043</v>
      </c>
      <c r="D495">
        <v>37064876</v>
      </c>
      <c r="E495">
        <v>1</v>
      </c>
      <c r="F495">
        <v>1</v>
      </c>
      <c r="G495">
        <v>1</v>
      </c>
      <c r="H495">
        <v>1</v>
      </c>
      <c r="I495" t="s">
        <v>797</v>
      </c>
      <c r="J495" t="s">
        <v>3</v>
      </c>
      <c r="K495" t="s">
        <v>798</v>
      </c>
      <c r="L495">
        <v>1191</v>
      </c>
      <c r="N495">
        <v>1013</v>
      </c>
      <c r="O495" t="s">
        <v>796</v>
      </c>
      <c r="P495" t="s">
        <v>796</v>
      </c>
      <c r="Q495">
        <v>1</v>
      </c>
      <c r="X495">
        <v>0.44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53</v>
      </c>
      <c r="AG495">
        <v>0.66</v>
      </c>
      <c r="AH495">
        <v>2</v>
      </c>
      <c r="AI495">
        <v>39479045</v>
      </c>
      <c r="AJ495">
        <v>534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ROW(Source!A351)</f>
        <v>351</v>
      </c>
      <c r="B496">
        <v>39479046</v>
      </c>
      <c r="C496">
        <v>39479043</v>
      </c>
      <c r="D496">
        <v>36882057</v>
      </c>
      <c r="E496">
        <v>1</v>
      </c>
      <c r="F496">
        <v>1</v>
      </c>
      <c r="G496">
        <v>1</v>
      </c>
      <c r="H496">
        <v>2</v>
      </c>
      <c r="I496" t="s">
        <v>897</v>
      </c>
      <c r="J496" t="s">
        <v>898</v>
      </c>
      <c r="K496" t="s">
        <v>899</v>
      </c>
      <c r="L496">
        <v>1368</v>
      </c>
      <c r="N496">
        <v>1011</v>
      </c>
      <c r="O496" t="s">
        <v>802</v>
      </c>
      <c r="P496" t="s">
        <v>802</v>
      </c>
      <c r="Q496">
        <v>1</v>
      </c>
      <c r="X496">
        <v>0.04</v>
      </c>
      <c r="Y496">
        <v>0</v>
      </c>
      <c r="Z496">
        <v>86.4</v>
      </c>
      <c r="AA496">
        <v>13.5</v>
      </c>
      <c r="AB496">
        <v>0</v>
      </c>
      <c r="AC496">
        <v>0</v>
      </c>
      <c r="AD496">
        <v>1</v>
      </c>
      <c r="AE496">
        <v>0</v>
      </c>
      <c r="AF496" t="s">
        <v>53</v>
      </c>
      <c r="AG496">
        <v>0.06</v>
      </c>
      <c r="AH496">
        <v>2</v>
      </c>
      <c r="AI496">
        <v>39479046</v>
      </c>
      <c r="AJ496">
        <v>535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ROW(Source!A351)</f>
        <v>351</v>
      </c>
      <c r="B497">
        <v>39479047</v>
      </c>
      <c r="C497">
        <v>39479043</v>
      </c>
      <c r="D497">
        <v>36882159</v>
      </c>
      <c r="E497">
        <v>1</v>
      </c>
      <c r="F497">
        <v>1</v>
      </c>
      <c r="G497">
        <v>1</v>
      </c>
      <c r="H497">
        <v>2</v>
      </c>
      <c r="I497" t="s">
        <v>825</v>
      </c>
      <c r="J497" t="s">
        <v>826</v>
      </c>
      <c r="K497" t="s">
        <v>827</v>
      </c>
      <c r="L497">
        <v>1368</v>
      </c>
      <c r="N497">
        <v>1011</v>
      </c>
      <c r="O497" t="s">
        <v>802</v>
      </c>
      <c r="P497" t="s">
        <v>802</v>
      </c>
      <c r="Q497">
        <v>1</v>
      </c>
      <c r="X497">
        <v>0.03</v>
      </c>
      <c r="Y497">
        <v>0</v>
      </c>
      <c r="Z497">
        <v>111.99</v>
      </c>
      <c r="AA497">
        <v>13.5</v>
      </c>
      <c r="AB497">
        <v>0</v>
      </c>
      <c r="AC497">
        <v>0</v>
      </c>
      <c r="AD497">
        <v>1</v>
      </c>
      <c r="AE497">
        <v>0</v>
      </c>
      <c r="AF497" t="s">
        <v>53</v>
      </c>
      <c r="AG497">
        <v>4.4999999999999998E-2</v>
      </c>
      <c r="AH497">
        <v>2</v>
      </c>
      <c r="AI497">
        <v>39479047</v>
      </c>
      <c r="AJ497">
        <v>536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ROW(Source!A351)</f>
        <v>351</v>
      </c>
      <c r="B498">
        <v>39479048</v>
      </c>
      <c r="C498">
        <v>39479043</v>
      </c>
      <c r="D498">
        <v>36883554</v>
      </c>
      <c r="E498">
        <v>1</v>
      </c>
      <c r="F498">
        <v>1</v>
      </c>
      <c r="G498">
        <v>1</v>
      </c>
      <c r="H498">
        <v>2</v>
      </c>
      <c r="I498" t="s">
        <v>834</v>
      </c>
      <c r="J498" t="s">
        <v>835</v>
      </c>
      <c r="K498" t="s">
        <v>836</v>
      </c>
      <c r="L498">
        <v>1368</v>
      </c>
      <c r="N498">
        <v>1011</v>
      </c>
      <c r="O498" t="s">
        <v>802</v>
      </c>
      <c r="P498" t="s">
        <v>802</v>
      </c>
      <c r="Q498">
        <v>1</v>
      </c>
      <c r="X498">
        <v>0.37</v>
      </c>
      <c r="Y498">
        <v>0</v>
      </c>
      <c r="Z498">
        <v>65.709999999999994</v>
      </c>
      <c r="AA498">
        <v>11.6</v>
      </c>
      <c r="AB498">
        <v>0</v>
      </c>
      <c r="AC498">
        <v>0</v>
      </c>
      <c r="AD498">
        <v>1</v>
      </c>
      <c r="AE498">
        <v>0</v>
      </c>
      <c r="AF498" t="s">
        <v>53</v>
      </c>
      <c r="AG498">
        <v>0.55500000000000005</v>
      </c>
      <c r="AH498">
        <v>2</v>
      </c>
      <c r="AI498">
        <v>39479048</v>
      </c>
      <c r="AJ498">
        <v>537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ROW(Source!A351)</f>
        <v>351</v>
      </c>
      <c r="B499">
        <v>39479049</v>
      </c>
      <c r="C499">
        <v>39479043</v>
      </c>
      <c r="D499">
        <v>36801792</v>
      </c>
      <c r="E499">
        <v>1</v>
      </c>
      <c r="F499">
        <v>1</v>
      </c>
      <c r="G499">
        <v>1</v>
      </c>
      <c r="H499">
        <v>3</v>
      </c>
      <c r="I499" t="s">
        <v>954</v>
      </c>
      <c r="J499" t="s">
        <v>955</v>
      </c>
      <c r="K499" t="s">
        <v>956</v>
      </c>
      <c r="L499">
        <v>1339</v>
      </c>
      <c r="N499">
        <v>1007</v>
      </c>
      <c r="O499" t="s">
        <v>25</v>
      </c>
      <c r="P499" t="s">
        <v>25</v>
      </c>
      <c r="Q499">
        <v>1</v>
      </c>
      <c r="X499">
        <v>0.47</v>
      </c>
      <c r="Y499">
        <v>2.44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3</v>
      </c>
      <c r="AG499">
        <v>0.47</v>
      </c>
      <c r="AH499">
        <v>2</v>
      </c>
      <c r="AI499">
        <v>39479049</v>
      </c>
      <c r="AJ499">
        <v>538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ROW(Source!A351)</f>
        <v>351</v>
      </c>
      <c r="B500">
        <v>39479050</v>
      </c>
      <c r="C500">
        <v>39479043</v>
      </c>
      <c r="D500">
        <v>36806524</v>
      </c>
      <c r="E500">
        <v>1</v>
      </c>
      <c r="F500">
        <v>1</v>
      </c>
      <c r="G500">
        <v>1</v>
      </c>
      <c r="H500">
        <v>3</v>
      </c>
      <c r="I500" t="s">
        <v>1185</v>
      </c>
      <c r="J500" t="s">
        <v>1186</v>
      </c>
      <c r="K500" t="s">
        <v>1187</v>
      </c>
      <c r="L500">
        <v>1346</v>
      </c>
      <c r="N500">
        <v>1009</v>
      </c>
      <c r="O500" t="s">
        <v>217</v>
      </c>
      <c r="P500" t="s">
        <v>217</v>
      </c>
      <c r="Q500">
        <v>1</v>
      </c>
      <c r="X500">
        <v>1.6000000000000001E-3</v>
      </c>
      <c r="Y500">
        <v>2.15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3</v>
      </c>
      <c r="AG500">
        <v>1.6000000000000001E-3</v>
      </c>
      <c r="AH500">
        <v>2</v>
      </c>
      <c r="AI500">
        <v>39479050</v>
      </c>
      <c r="AJ500">
        <v>539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ROW(Source!A351)</f>
        <v>351</v>
      </c>
      <c r="B501">
        <v>39479051</v>
      </c>
      <c r="C501">
        <v>39479043</v>
      </c>
      <c r="D501">
        <v>36797640</v>
      </c>
      <c r="E501">
        <v>17</v>
      </c>
      <c r="F501">
        <v>1</v>
      </c>
      <c r="G501">
        <v>1</v>
      </c>
      <c r="H501">
        <v>3</v>
      </c>
      <c r="I501" t="s">
        <v>1255</v>
      </c>
      <c r="J501" t="s">
        <v>3</v>
      </c>
      <c r="K501" t="s">
        <v>1267</v>
      </c>
      <c r="L501">
        <v>1354</v>
      </c>
      <c r="N501">
        <v>1010</v>
      </c>
      <c r="O501" t="s">
        <v>415</v>
      </c>
      <c r="P501" t="s">
        <v>415</v>
      </c>
      <c r="Q501">
        <v>1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1</v>
      </c>
      <c r="AD501">
        <v>0</v>
      </c>
      <c r="AE501">
        <v>0</v>
      </c>
      <c r="AF501" t="s">
        <v>3</v>
      </c>
      <c r="AG501">
        <v>0</v>
      </c>
      <c r="AH501">
        <v>3</v>
      </c>
      <c r="AI501">
        <v>-1</v>
      </c>
      <c r="AJ501" t="s">
        <v>3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ROW(Source!A351)</f>
        <v>351</v>
      </c>
      <c r="B502">
        <v>39479052</v>
      </c>
      <c r="C502">
        <v>39479043</v>
      </c>
      <c r="D502">
        <v>36797643</v>
      </c>
      <c r="E502">
        <v>17</v>
      </c>
      <c r="F502">
        <v>1</v>
      </c>
      <c r="G502">
        <v>1</v>
      </c>
      <c r="H502">
        <v>3</v>
      </c>
      <c r="I502" t="s">
        <v>1268</v>
      </c>
      <c r="J502" t="s">
        <v>3</v>
      </c>
      <c r="K502" t="s">
        <v>1269</v>
      </c>
      <c r="L502">
        <v>1301</v>
      </c>
      <c r="N502">
        <v>1003</v>
      </c>
      <c r="O502" t="s">
        <v>74</v>
      </c>
      <c r="P502" t="s">
        <v>74</v>
      </c>
      <c r="Q502">
        <v>1</v>
      </c>
      <c r="X502">
        <v>11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 t="s">
        <v>3</v>
      </c>
      <c r="AG502">
        <v>11</v>
      </c>
      <c r="AH502">
        <v>3</v>
      </c>
      <c r="AI502">
        <v>-1</v>
      </c>
      <c r="AJ502" t="s">
        <v>3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ROW(Source!A351)</f>
        <v>351</v>
      </c>
      <c r="B503">
        <v>39479053</v>
      </c>
      <c r="C503">
        <v>39479043</v>
      </c>
      <c r="D503">
        <v>36797622</v>
      </c>
      <c r="E503">
        <v>17</v>
      </c>
      <c r="F503">
        <v>1</v>
      </c>
      <c r="G503">
        <v>1</v>
      </c>
      <c r="H503">
        <v>3</v>
      </c>
      <c r="I503" t="s">
        <v>1257</v>
      </c>
      <c r="J503" t="s">
        <v>3</v>
      </c>
      <c r="K503" t="s">
        <v>1258</v>
      </c>
      <c r="L503">
        <v>1346</v>
      </c>
      <c r="N503">
        <v>1009</v>
      </c>
      <c r="O503" t="s">
        <v>217</v>
      </c>
      <c r="P503" t="s">
        <v>217</v>
      </c>
      <c r="Q503">
        <v>1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1</v>
      </c>
      <c r="AD503">
        <v>0</v>
      </c>
      <c r="AE503">
        <v>0</v>
      </c>
      <c r="AF503" t="s">
        <v>3</v>
      </c>
      <c r="AG503">
        <v>0</v>
      </c>
      <c r="AH503">
        <v>3</v>
      </c>
      <c r="AI503">
        <v>-1</v>
      </c>
      <c r="AJ503" t="s">
        <v>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ROW(Source!A351)</f>
        <v>351</v>
      </c>
      <c r="B504">
        <v>39479054</v>
      </c>
      <c r="C504">
        <v>39479043</v>
      </c>
      <c r="D504">
        <v>36797648</v>
      </c>
      <c r="E504">
        <v>17</v>
      </c>
      <c r="F504">
        <v>1</v>
      </c>
      <c r="G504">
        <v>1</v>
      </c>
      <c r="H504">
        <v>3</v>
      </c>
      <c r="I504" t="s">
        <v>708</v>
      </c>
      <c r="J504" t="s">
        <v>3</v>
      </c>
      <c r="K504" t="s">
        <v>709</v>
      </c>
      <c r="L504">
        <v>1301</v>
      </c>
      <c r="N504">
        <v>1003</v>
      </c>
      <c r="O504" t="s">
        <v>74</v>
      </c>
      <c r="P504" t="s">
        <v>74</v>
      </c>
      <c r="Q504">
        <v>1</v>
      </c>
      <c r="X504">
        <v>95.8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 t="s">
        <v>3</v>
      </c>
      <c r="AG504">
        <v>95.8</v>
      </c>
      <c r="AH504">
        <v>2</v>
      </c>
      <c r="AI504">
        <v>39479054</v>
      </c>
      <c r="AJ504">
        <v>541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ROW(Source!A351)</f>
        <v>351</v>
      </c>
      <c r="B505">
        <v>39479055</v>
      </c>
      <c r="C505">
        <v>39479043</v>
      </c>
      <c r="D505">
        <v>36797653</v>
      </c>
      <c r="E505">
        <v>17</v>
      </c>
      <c r="F505">
        <v>1</v>
      </c>
      <c r="G505">
        <v>1</v>
      </c>
      <c r="H505">
        <v>3</v>
      </c>
      <c r="I505" t="s">
        <v>1270</v>
      </c>
      <c r="J505" t="s">
        <v>3</v>
      </c>
      <c r="K505" t="s">
        <v>1271</v>
      </c>
      <c r="L505">
        <v>1354</v>
      </c>
      <c r="N505">
        <v>1010</v>
      </c>
      <c r="O505" t="s">
        <v>415</v>
      </c>
      <c r="P505" t="s">
        <v>415</v>
      </c>
      <c r="Q505">
        <v>1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1</v>
      </c>
      <c r="AD505">
        <v>0</v>
      </c>
      <c r="AE505">
        <v>0</v>
      </c>
      <c r="AF505" t="s">
        <v>3</v>
      </c>
      <c r="AG505">
        <v>0</v>
      </c>
      <c r="AH505">
        <v>3</v>
      </c>
      <c r="AI505">
        <v>-1</v>
      </c>
      <c r="AJ505" t="s">
        <v>3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2018-08-13T15:41:45Z</cp:lastPrinted>
  <dcterms:created xsi:type="dcterms:W3CDTF">2018-05-11T07:30:45Z</dcterms:created>
  <dcterms:modified xsi:type="dcterms:W3CDTF">2018-08-21T09:48:10Z</dcterms:modified>
</cp:coreProperties>
</file>