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Акт КС-2 10 граф" sheetId="7" r:id="rId3"/>
    <sheet name="Макет форма-3" sheetId="8" r:id="rId4"/>
    <sheet name="Source" sheetId="1" r:id="rId5"/>
    <sheet name="SourceObSm" sheetId="2" r:id="rId6"/>
    <sheet name="SmtRes" sheetId="3" r:id="rId7"/>
    <sheet name="EtalonRes" sheetId="4" r:id="rId8"/>
  </sheets>
  <definedNames>
    <definedName name="_xlnm.Print_Titles" localSheetId="2">'Акт КС-2 10 граф'!$33:$33</definedName>
    <definedName name="_xlnm.Print_Titles" localSheetId="1">'Акт КС-2 c НР и СП'!$35:$35</definedName>
    <definedName name="_xlnm.Print_Titles" localSheetId="0">'Смета 12 гр. по ФЕР'!$20:$20</definedName>
    <definedName name="_xlnm.Print_Area" localSheetId="2">'Акт КС-2 10 граф'!$A$1:$J$161</definedName>
    <definedName name="_xlnm.Print_Area" localSheetId="1">'Акт КС-2 c НР и СП'!$A$1:$H$173</definedName>
    <definedName name="_xlnm.Print_Area" localSheetId="0">'Смета 12 гр. по ФЕР'!$A$1:$L$121</definedName>
  </definedNames>
  <calcPr calcId="145621"/>
</workbook>
</file>

<file path=xl/calcChain.xml><?xml version="1.0" encoding="utf-8"?>
<calcChain xmlns="http://schemas.openxmlformats.org/spreadsheetml/2006/main">
  <c r="A1" i="8" l="1"/>
  <c r="H151" i="7"/>
  <c r="H146" i="7"/>
  <c r="D151" i="7"/>
  <c r="D146" i="7"/>
  <c r="A143" i="7"/>
  <c r="A142" i="7"/>
  <c r="A141" i="7"/>
  <c r="A137" i="7"/>
  <c r="A136" i="7"/>
  <c r="A135" i="7"/>
  <c r="I129" i="7"/>
  <c r="G129" i="7"/>
  <c r="F129" i="7"/>
  <c r="E129" i="7"/>
  <c r="D129" i="7"/>
  <c r="C129" i="7"/>
  <c r="B129" i="7"/>
  <c r="I127" i="7"/>
  <c r="G127" i="7"/>
  <c r="F127" i="7"/>
  <c r="E127" i="7"/>
  <c r="D127" i="7"/>
  <c r="C127" i="7"/>
  <c r="B127" i="7"/>
  <c r="F125" i="7"/>
  <c r="G124" i="7"/>
  <c r="G123" i="7"/>
  <c r="I122" i="7"/>
  <c r="G122" i="7"/>
  <c r="E122" i="7"/>
  <c r="D122" i="7"/>
  <c r="C122" i="7"/>
  <c r="B122" i="7"/>
  <c r="I121" i="7"/>
  <c r="G121" i="7"/>
  <c r="E121" i="7"/>
  <c r="D121" i="7"/>
  <c r="C121" i="7"/>
  <c r="B121" i="7"/>
  <c r="I120" i="7"/>
  <c r="G120" i="7"/>
  <c r="I119" i="7"/>
  <c r="G119" i="7"/>
  <c r="I118" i="7"/>
  <c r="G118" i="7"/>
  <c r="I117" i="7"/>
  <c r="G117" i="7"/>
  <c r="G115" i="7"/>
  <c r="E115" i="7"/>
  <c r="I115" i="7"/>
  <c r="D115" i="7"/>
  <c r="C115" i="7"/>
  <c r="B115" i="7"/>
  <c r="F113" i="7"/>
  <c r="G112" i="7"/>
  <c r="G111" i="7"/>
  <c r="I110" i="7"/>
  <c r="G110" i="7"/>
  <c r="E110" i="7"/>
  <c r="D110" i="7"/>
  <c r="C110" i="7"/>
  <c r="B110" i="7"/>
  <c r="I109" i="7"/>
  <c r="G109" i="7"/>
  <c r="I108" i="7"/>
  <c r="G108" i="7"/>
  <c r="I107" i="7"/>
  <c r="G107" i="7"/>
  <c r="G105" i="7"/>
  <c r="E105" i="7"/>
  <c r="I105" i="7"/>
  <c r="D105" i="7"/>
  <c r="C105" i="7"/>
  <c r="B105" i="7"/>
  <c r="F103" i="7"/>
  <c r="G102" i="7"/>
  <c r="G101" i="7"/>
  <c r="I100" i="7"/>
  <c r="G100" i="7"/>
  <c r="E100" i="7"/>
  <c r="D100" i="7"/>
  <c r="C100" i="7"/>
  <c r="B100" i="7"/>
  <c r="I99" i="7"/>
  <c r="G99" i="7"/>
  <c r="E99" i="7"/>
  <c r="D99" i="7"/>
  <c r="C99" i="7"/>
  <c r="B99" i="7"/>
  <c r="I98" i="7"/>
  <c r="G98" i="7"/>
  <c r="I97" i="7"/>
  <c r="G97" i="7"/>
  <c r="I96" i="7"/>
  <c r="G96" i="7"/>
  <c r="I95" i="7"/>
  <c r="G95" i="7"/>
  <c r="G93" i="7"/>
  <c r="E93" i="7"/>
  <c r="I93" i="7"/>
  <c r="D93" i="7"/>
  <c r="C93" i="7"/>
  <c r="B93" i="7"/>
  <c r="F91" i="7"/>
  <c r="G90" i="7"/>
  <c r="G89" i="7"/>
  <c r="I88" i="7"/>
  <c r="G88" i="7"/>
  <c r="E88" i="7"/>
  <c r="D88" i="7"/>
  <c r="C88" i="7"/>
  <c r="B88" i="7"/>
  <c r="I87" i="7"/>
  <c r="G87" i="7"/>
  <c r="I86" i="7"/>
  <c r="G86" i="7"/>
  <c r="I85" i="7"/>
  <c r="G85" i="7"/>
  <c r="I84" i="7"/>
  <c r="G84" i="7"/>
  <c r="G82" i="7"/>
  <c r="E82" i="7"/>
  <c r="I82" i="7"/>
  <c r="D82" i="7"/>
  <c r="C82" i="7"/>
  <c r="B82" i="7"/>
  <c r="F80" i="7"/>
  <c r="G79" i="7"/>
  <c r="G78" i="7"/>
  <c r="I77" i="7"/>
  <c r="G77" i="7"/>
  <c r="E77" i="7"/>
  <c r="D77" i="7"/>
  <c r="C77" i="7"/>
  <c r="B77" i="7"/>
  <c r="I76" i="7"/>
  <c r="G76" i="7"/>
  <c r="E76" i="7"/>
  <c r="D76" i="7"/>
  <c r="C76" i="7"/>
  <c r="B76" i="7"/>
  <c r="I75" i="7"/>
  <c r="G75" i="7"/>
  <c r="E75" i="7"/>
  <c r="D75" i="7"/>
  <c r="C75" i="7"/>
  <c r="B75" i="7"/>
  <c r="I74" i="7"/>
  <c r="G74" i="7"/>
  <c r="E74" i="7"/>
  <c r="D74" i="7"/>
  <c r="C74" i="7"/>
  <c r="B74" i="7"/>
  <c r="I73" i="7"/>
  <c r="G73" i="7"/>
  <c r="I72" i="7"/>
  <c r="G72" i="7"/>
  <c r="I71" i="7"/>
  <c r="G71" i="7"/>
  <c r="I70" i="7"/>
  <c r="G70" i="7"/>
  <c r="G68" i="7"/>
  <c r="E68" i="7"/>
  <c r="I68" i="7"/>
  <c r="D68" i="7"/>
  <c r="C68" i="7"/>
  <c r="B68" i="7"/>
  <c r="F66" i="7"/>
  <c r="G65" i="7"/>
  <c r="G64" i="7"/>
  <c r="I63" i="7"/>
  <c r="G63" i="7"/>
  <c r="E63" i="7"/>
  <c r="D63" i="7"/>
  <c r="C63" i="7"/>
  <c r="B63" i="7"/>
  <c r="I62" i="7"/>
  <c r="G62" i="7"/>
  <c r="I61" i="7"/>
  <c r="G61" i="7"/>
  <c r="I60" i="7"/>
  <c r="G60" i="7"/>
  <c r="I59" i="7"/>
  <c r="G59" i="7"/>
  <c r="G57" i="7"/>
  <c r="E57" i="7"/>
  <c r="I57" i="7"/>
  <c r="D57" i="7"/>
  <c r="C57" i="7"/>
  <c r="B57" i="7"/>
  <c r="F55" i="7"/>
  <c r="G54" i="7"/>
  <c r="G53" i="7"/>
  <c r="I52" i="7"/>
  <c r="G52" i="7"/>
  <c r="E52" i="7"/>
  <c r="D52" i="7"/>
  <c r="C52" i="7"/>
  <c r="B52" i="7"/>
  <c r="I51" i="7"/>
  <c r="G51" i="7"/>
  <c r="E51" i="7"/>
  <c r="D51" i="7"/>
  <c r="C51" i="7"/>
  <c r="B51" i="7"/>
  <c r="I50" i="7"/>
  <c r="G50" i="7"/>
  <c r="I49" i="7"/>
  <c r="G49" i="7"/>
  <c r="I48" i="7"/>
  <c r="G48" i="7"/>
  <c r="I47" i="7"/>
  <c r="G47" i="7"/>
  <c r="G45" i="7"/>
  <c r="E45" i="7"/>
  <c r="I45" i="7"/>
  <c r="D45" i="7"/>
  <c r="C45" i="7"/>
  <c r="B45" i="7"/>
  <c r="F43" i="7"/>
  <c r="G42" i="7"/>
  <c r="G41" i="7"/>
  <c r="I40" i="7"/>
  <c r="G40" i="7"/>
  <c r="I39" i="7"/>
  <c r="G39" i="7"/>
  <c r="I38" i="7"/>
  <c r="G38" i="7"/>
  <c r="G36" i="7"/>
  <c r="E36" i="7"/>
  <c r="I36" i="7"/>
  <c r="D36" i="7"/>
  <c r="C36" i="7"/>
  <c r="B36" i="7"/>
  <c r="A35" i="7"/>
  <c r="F24" i="7"/>
  <c r="I20" i="7"/>
  <c r="I19" i="7"/>
  <c r="I18" i="7"/>
  <c r="I17" i="7"/>
  <c r="I15" i="7"/>
  <c r="AC16" i="7"/>
  <c r="C16" i="7"/>
  <c r="I13" i="7"/>
  <c r="I11" i="7"/>
  <c r="D12" i="7"/>
  <c r="I9" i="7"/>
  <c r="D10" i="7"/>
  <c r="I7" i="7"/>
  <c r="C8" i="7"/>
  <c r="A1" i="7"/>
  <c r="G168" i="6"/>
  <c r="G163" i="6"/>
  <c r="C168" i="6"/>
  <c r="C163" i="6"/>
  <c r="C160" i="6"/>
  <c r="C159" i="6"/>
  <c r="C158" i="6"/>
  <c r="C154" i="6"/>
  <c r="C153" i="6"/>
  <c r="C152" i="6"/>
  <c r="D147" i="6"/>
  <c r="F146" i="6"/>
  <c r="E146" i="6"/>
  <c r="C146" i="6"/>
  <c r="D146" i="6"/>
  <c r="B146" i="6"/>
  <c r="D145" i="6"/>
  <c r="F144" i="6"/>
  <c r="E144" i="6"/>
  <c r="C144" i="6"/>
  <c r="D144" i="6"/>
  <c r="B144" i="6"/>
  <c r="D143" i="6"/>
  <c r="E142" i="6"/>
  <c r="C142" i="6"/>
  <c r="D142" i="6"/>
  <c r="B142" i="6"/>
  <c r="D141" i="6"/>
  <c r="E140" i="6"/>
  <c r="C140" i="6"/>
  <c r="D140" i="6"/>
  <c r="B140" i="6"/>
  <c r="H138" i="6"/>
  <c r="G138" i="6"/>
  <c r="F137" i="6"/>
  <c r="H136" i="6"/>
  <c r="G136" i="6"/>
  <c r="F135" i="6"/>
  <c r="D134" i="6"/>
  <c r="D133" i="6"/>
  <c r="D132" i="6"/>
  <c r="D131" i="6"/>
  <c r="E129" i="6"/>
  <c r="C129" i="6"/>
  <c r="D129" i="6"/>
  <c r="B129" i="6"/>
  <c r="D128" i="6"/>
  <c r="E127" i="6"/>
  <c r="C127" i="6"/>
  <c r="D127" i="6"/>
  <c r="B127" i="6"/>
  <c r="F125" i="6"/>
  <c r="F124" i="6"/>
  <c r="D123" i="6"/>
  <c r="D122" i="6"/>
  <c r="D121" i="6"/>
  <c r="D120" i="6"/>
  <c r="E118" i="6"/>
  <c r="C118" i="6"/>
  <c r="D118" i="6"/>
  <c r="B118" i="6"/>
  <c r="D117" i="6"/>
  <c r="E116" i="6"/>
  <c r="C116" i="6"/>
  <c r="D116" i="6"/>
  <c r="B116" i="6"/>
  <c r="D115" i="6"/>
  <c r="E114" i="6"/>
  <c r="C114" i="6"/>
  <c r="D114" i="6"/>
  <c r="B114" i="6"/>
  <c r="F112" i="6"/>
  <c r="F111" i="6"/>
  <c r="D110" i="6"/>
  <c r="D109" i="6"/>
  <c r="D108" i="6"/>
  <c r="D107" i="6"/>
  <c r="E105" i="6"/>
  <c r="C105" i="6"/>
  <c r="D105" i="6"/>
  <c r="B105" i="6"/>
  <c r="D104" i="6"/>
  <c r="E103" i="6"/>
  <c r="C103" i="6"/>
  <c r="D103" i="6"/>
  <c r="B103" i="6"/>
  <c r="F101" i="6"/>
  <c r="F100" i="6"/>
  <c r="D99" i="6"/>
  <c r="D98" i="6"/>
  <c r="D97" i="6"/>
  <c r="D96" i="6"/>
  <c r="E94" i="6"/>
  <c r="C94" i="6"/>
  <c r="D94" i="6"/>
  <c r="B94" i="6"/>
  <c r="D93" i="6"/>
  <c r="E92" i="6"/>
  <c r="C92" i="6"/>
  <c r="D92" i="6"/>
  <c r="B92" i="6"/>
  <c r="D91" i="6"/>
  <c r="E90" i="6"/>
  <c r="C90" i="6"/>
  <c r="D90" i="6"/>
  <c r="B90" i="6"/>
  <c r="D89" i="6"/>
  <c r="E88" i="6"/>
  <c r="C88" i="6"/>
  <c r="D88" i="6"/>
  <c r="B88" i="6"/>
  <c r="D87" i="6"/>
  <c r="E86" i="6"/>
  <c r="C86" i="6"/>
  <c r="D86" i="6"/>
  <c r="B86" i="6"/>
  <c r="F84" i="6"/>
  <c r="F83" i="6"/>
  <c r="D82" i="6"/>
  <c r="D81" i="6"/>
  <c r="D80" i="6"/>
  <c r="D79" i="6"/>
  <c r="E77" i="6"/>
  <c r="C77" i="6"/>
  <c r="D77" i="6"/>
  <c r="B77" i="6"/>
  <c r="D76" i="6"/>
  <c r="E75" i="6"/>
  <c r="C75" i="6"/>
  <c r="D75" i="6"/>
  <c r="B75" i="6"/>
  <c r="H73" i="6"/>
  <c r="G73" i="6"/>
  <c r="F72" i="6"/>
  <c r="H71" i="6"/>
  <c r="G71" i="6"/>
  <c r="F70" i="6"/>
  <c r="D69" i="6"/>
  <c r="D68" i="6"/>
  <c r="D67" i="6"/>
  <c r="D66" i="6"/>
  <c r="E64" i="6"/>
  <c r="C64" i="6"/>
  <c r="D64" i="6"/>
  <c r="B64" i="6"/>
  <c r="D63" i="6"/>
  <c r="E62" i="6"/>
  <c r="C62" i="6"/>
  <c r="D62" i="6"/>
  <c r="B62" i="6"/>
  <c r="D61" i="6"/>
  <c r="E60" i="6"/>
  <c r="C60" i="6"/>
  <c r="D60" i="6"/>
  <c r="B60" i="6"/>
  <c r="H58" i="6"/>
  <c r="G58" i="6"/>
  <c r="F57" i="6"/>
  <c r="H56" i="6"/>
  <c r="G56" i="6"/>
  <c r="F55" i="6"/>
  <c r="D54" i="6"/>
  <c r="D53" i="6"/>
  <c r="D52" i="6"/>
  <c r="D51" i="6"/>
  <c r="E49" i="6"/>
  <c r="C49" i="6"/>
  <c r="D49" i="6"/>
  <c r="B49" i="6"/>
  <c r="H47" i="6"/>
  <c r="G47" i="6"/>
  <c r="F46" i="6"/>
  <c r="H45" i="6"/>
  <c r="G45" i="6"/>
  <c r="F44" i="6"/>
  <c r="D43" i="6"/>
  <c r="D42" i="6"/>
  <c r="D41" i="6"/>
  <c r="D40" i="6"/>
  <c r="E38" i="6"/>
  <c r="C38" i="6"/>
  <c r="D38" i="6"/>
  <c r="B38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8" i="5"/>
  <c r="C119" i="5"/>
  <c r="C118" i="5"/>
  <c r="Z115" i="5"/>
  <c r="Y115" i="5"/>
  <c r="X115" i="5"/>
  <c r="J114" i="5"/>
  <c r="G114" i="5"/>
  <c r="F114" i="5"/>
  <c r="U114" i="5"/>
  <c r="S114" i="5"/>
  <c r="E114" i="5"/>
  <c r="D114" i="5"/>
  <c r="I114" i="5"/>
  <c r="C114" i="5"/>
  <c r="B114" i="5"/>
  <c r="A114" i="5"/>
  <c r="Z113" i="5"/>
  <c r="Y113" i="5"/>
  <c r="X113" i="5"/>
  <c r="J112" i="5"/>
  <c r="G112" i="5"/>
  <c r="F112" i="5"/>
  <c r="U112" i="5"/>
  <c r="S112" i="5"/>
  <c r="E112" i="5"/>
  <c r="D112" i="5"/>
  <c r="I112" i="5"/>
  <c r="C112" i="5"/>
  <c r="B112" i="5"/>
  <c r="A112" i="5"/>
  <c r="Z111" i="5"/>
  <c r="Y111" i="5"/>
  <c r="X111" i="5"/>
  <c r="J110" i="5"/>
  <c r="Z110" i="5"/>
  <c r="Y110" i="5"/>
  <c r="X110" i="5"/>
  <c r="F110" i="5"/>
  <c r="D110" i="5"/>
  <c r="C110" i="5"/>
  <c r="B110" i="5"/>
  <c r="A110" i="5"/>
  <c r="J109" i="5"/>
  <c r="Z109" i="5"/>
  <c r="Y109" i="5"/>
  <c r="X109" i="5"/>
  <c r="F109" i="5"/>
  <c r="D109" i="5"/>
  <c r="C109" i="5"/>
  <c r="B109" i="5"/>
  <c r="A109" i="5"/>
  <c r="G108" i="5"/>
  <c r="E108" i="5"/>
  <c r="J107" i="5"/>
  <c r="F107" i="5"/>
  <c r="E107" i="5"/>
  <c r="J106" i="5"/>
  <c r="F106" i="5"/>
  <c r="E106" i="5"/>
  <c r="J105" i="5"/>
  <c r="G105" i="5"/>
  <c r="F105" i="5"/>
  <c r="J104" i="5"/>
  <c r="G104" i="5"/>
  <c r="F104" i="5"/>
  <c r="J103" i="5"/>
  <c r="G103" i="5"/>
  <c r="F103" i="5"/>
  <c r="J102" i="5"/>
  <c r="G102" i="5"/>
  <c r="F102" i="5"/>
  <c r="F100" i="5"/>
  <c r="D100" i="5"/>
  <c r="I100" i="5"/>
  <c r="C100" i="5"/>
  <c r="B100" i="5"/>
  <c r="A100" i="5"/>
  <c r="Z99" i="5"/>
  <c r="Y99" i="5"/>
  <c r="X99" i="5"/>
  <c r="J98" i="5"/>
  <c r="Z98" i="5"/>
  <c r="Y98" i="5"/>
  <c r="X98" i="5"/>
  <c r="F98" i="5"/>
  <c r="D98" i="5"/>
  <c r="C98" i="5"/>
  <c r="B98" i="5"/>
  <c r="A98" i="5"/>
  <c r="G97" i="5"/>
  <c r="E97" i="5"/>
  <c r="J96" i="5"/>
  <c r="E96" i="5"/>
  <c r="J95" i="5"/>
  <c r="E95" i="5"/>
  <c r="J94" i="5"/>
  <c r="G94" i="5"/>
  <c r="F94" i="5"/>
  <c r="J93" i="5"/>
  <c r="G93" i="5"/>
  <c r="F93" i="5"/>
  <c r="J92" i="5"/>
  <c r="G92" i="5"/>
  <c r="F92" i="5"/>
  <c r="F90" i="5"/>
  <c r="D90" i="5"/>
  <c r="I90" i="5"/>
  <c r="C90" i="5"/>
  <c r="B90" i="5"/>
  <c r="A90" i="5"/>
  <c r="Z89" i="5"/>
  <c r="Y89" i="5"/>
  <c r="X89" i="5"/>
  <c r="J88" i="5"/>
  <c r="Z88" i="5"/>
  <c r="Y88" i="5"/>
  <c r="X88" i="5"/>
  <c r="F88" i="5"/>
  <c r="D88" i="5"/>
  <c r="C88" i="5"/>
  <c r="B88" i="5"/>
  <c r="A88" i="5"/>
  <c r="J87" i="5"/>
  <c r="Z87" i="5"/>
  <c r="Y87" i="5"/>
  <c r="X87" i="5"/>
  <c r="F87" i="5"/>
  <c r="D87" i="5"/>
  <c r="C87" i="5"/>
  <c r="B87" i="5"/>
  <c r="A87" i="5"/>
  <c r="G86" i="5"/>
  <c r="E86" i="5"/>
  <c r="J85" i="5"/>
  <c r="E85" i="5"/>
  <c r="J84" i="5"/>
  <c r="E84" i="5"/>
  <c r="J83" i="5"/>
  <c r="G83" i="5"/>
  <c r="F83" i="5"/>
  <c r="J82" i="5"/>
  <c r="G82" i="5"/>
  <c r="F82" i="5"/>
  <c r="J81" i="5"/>
  <c r="G81" i="5"/>
  <c r="F81" i="5"/>
  <c r="J80" i="5"/>
  <c r="G80" i="5"/>
  <c r="F80" i="5"/>
  <c r="F78" i="5"/>
  <c r="D78" i="5"/>
  <c r="I78" i="5"/>
  <c r="C78" i="5"/>
  <c r="B78" i="5"/>
  <c r="A78" i="5"/>
  <c r="Z77" i="5"/>
  <c r="Y77" i="5"/>
  <c r="X77" i="5"/>
  <c r="J76" i="5"/>
  <c r="Z76" i="5"/>
  <c r="Y76" i="5"/>
  <c r="X76" i="5"/>
  <c r="F76" i="5"/>
  <c r="D76" i="5"/>
  <c r="C76" i="5"/>
  <c r="B76" i="5"/>
  <c r="A76" i="5"/>
  <c r="G75" i="5"/>
  <c r="E75" i="5"/>
  <c r="J74" i="5"/>
  <c r="E74" i="5"/>
  <c r="J73" i="5"/>
  <c r="E73" i="5"/>
  <c r="J72" i="5"/>
  <c r="G72" i="5"/>
  <c r="F72" i="5"/>
  <c r="J71" i="5"/>
  <c r="G71" i="5"/>
  <c r="F71" i="5"/>
  <c r="J70" i="5"/>
  <c r="G70" i="5"/>
  <c r="F70" i="5"/>
  <c r="J69" i="5"/>
  <c r="G69" i="5"/>
  <c r="F69" i="5"/>
  <c r="F67" i="5"/>
  <c r="D67" i="5"/>
  <c r="I67" i="5"/>
  <c r="C67" i="5"/>
  <c r="B67" i="5"/>
  <c r="A67" i="5"/>
  <c r="Z66" i="5"/>
  <c r="Y66" i="5"/>
  <c r="X66" i="5"/>
  <c r="J65" i="5"/>
  <c r="Z65" i="5"/>
  <c r="Y65" i="5"/>
  <c r="X65" i="5"/>
  <c r="F65" i="5"/>
  <c r="D65" i="5"/>
  <c r="C65" i="5"/>
  <c r="B65" i="5"/>
  <c r="A65" i="5"/>
  <c r="J64" i="5"/>
  <c r="Z64" i="5"/>
  <c r="Y64" i="5"/>
  <c r="X64" i="5"/>
  <c r="F64" i="5"/>
  <c r="D64" i="5"/>
  <c r="C64" i="5"/>
  <c r="B64" i="5"/>
  <c r="A64" i="5"/>
  <c r="J63" i="5"/>
  <c r="Z63" i="5"/>
  <c r="Y63" i="5"/>
  <c r="X63" i="5"/>
  <c r="F63" i="5"/>
  <c r="D63" i="5"/>
  <c r="C63" i="5"/>
  <c r="B63" i="5"/>
  <c r="A63" i="5"/>
  <c r="J62" i="5"/>
  <c r="Z62" i="5"/>
  <c r="Y62" i="5"/>
  <c r="X62" i="5"/>
  <c r="F62" i="5"/>
  <c r="D62" i="5"/>
  <c r="C62" i="5"/>
  <c r="B62" i="5"/>
  <c r="A62" i="5"/>
  <c r="G61" i="5"/>
  <c r="E61" i="5"/>
  <c r="J60" i="5"/>
  <c r="E60" i="5"/>
  <c r="J59" i="5"/>
  <c r="E59" i="5"/>
  <c r="J58" i="5"/>
  <c r="G58" i="5"/>
  <c r="F58" i="5"/>
  <c r="J57" i="5"/>
  <c r="G57" i="5"/>
  <c r="F57" i="5"/>
  <c r="J56" i="5"/>
  <c r="G56" i="5"/>
  <c r="F56" i="5"/>
  <c r="J55" i="5"/>
  <c r="G55" i="5"/>
  <c r="F55" i="5"/>
  <c r="F53" i="5"/>
  <c r="D53" i="5"/>
  <c r="I53" i="5"/>
  <c r="C53" i="5"/>
  <c r="B53" i="5"/>
  <c r="A53" i="5"/>
  <c r="Z52" i="5"/>
  <c r="Y52" i="5"/>
  <c r="X52" i="5"/>
  <c r="J51" i="5"/>
  <c r="Z51" i="5"/>
  <c r="Y51" i="5"/>
  <c r="X51" i="5"/>
  <c r="F51" i="5"/>
  <c r="D51" i="5"/>
  <c r="C51" i="5"/>
  <c r="B51" i="5"/>
  <c r="A51" i="5"/>
  <c r="G50" i="5"/>
  <c r="E50" i="5"/>
  <c r="J49" i="5"/>
  <c r="F49" i="5"/>
  <c r="E49" i="5"/>
  <c r="J48" i="5"/>
  <c r="F48" i="5"/>
  <c r="E48" i="5"/>
  <c r="J47" i="5"/>
  <c r="G47" i="5"/>
  <c r="F47" i="5"/>
  <c r="J46" i="5"/>
  <c r="G46" i="5"/>
  <c r="F46" i="5"/>
  <c r="J45" i="5"/>
  <c r="G45" i="5"/>
  <c r="F45" i="5"/>
  <c r="J44" i="5"/>
  <c r="G44" i="5"/>
  <c r="F44" i="5"/>
  <c r="F42" i="5"/>
  <c r="D42" i="5"/>
  <c r="I42" i="5"/>
  <c r="C42" i="5"/>
  <c r="B42" i="5"/>
  <c r="A42" i="5"/>
  <c r="Z41" i="5"/>
  <c r="Y41" i="5"/>
  <c r="X41" i="5"/>
  <c r="J40" i="5"/>
  <c r="Z40" i="5"/>
  <c r="Y40" i="5"/>
  <c r="X40" i="5"/>
  <c r="F40" i="5"/>
  <c r="D40" i="5"/>
  <c r="C40" i="5"/>
  <c r="B40" i="5"/>
  <c r="A40" i="5"/>
  <c r="J39" i="5"/>
  <c r="Z39" i="5"/>
  <c r="Y39" i="5"/>
  <c r="X39" i="5"/>
  <c r="F39" i="5"/>
  <c r="D39" i="5"/>
  <c r="C39" i="5"/>
  <c r="B39" i="5"/>
  <c r="A39" i="5"/>
  <c r="G38" i="5"/>
  <c r="E38" i="5"/>
  <c r="J37" i="5"/>
  <c r="F37" i="5"/>
  <c r="E37" i="5"/>
  <c r="J36" i="5"/>
  <c r="F36" i="5"/>
  <c r="E36" i="5"/>
  <c r="J35" i="5"/>
  <c r="G35" i="5"/>
  <c r="F35" i="5"/>
  <c r="J34" i="5"/>
  <c r="G34" i="5"/>
  <c r="F34" i="5"/>
  <c r="J33" i="5"/>
  <c r="G33" i="5"/>
  <c r="F33" i="5"/>
  <c r="J32" i="5"/>
  <c r="G32" i="5"/>
  <c r="F32" i="5"/>
  <c r="F30" i="5"/>
  <c r="D30" i="5"/>
  <c r="I30" i="5"/>
  <c r="C30" i="5"/>
  <c r="B30" i="5"/>
  <c r="A30" i="5"/>
  <c r="Z29" i="5"/>
  <c r="Y29" i="5"/>
  <c r="X29" i="5"/>
  <c r="G28" i="5"/>
  <c r="E28" i="5"/>
  <c r="J27" i="5"/>
  <c r="F27" i="5"/>
  <c r="E27" i="5"/>
  <c r="J26" i="5"/>
  <c r="F26" i="5"/>
  <c r="E26" i="5"/>
  <c r="J25" i="5"/>
  <c r="G25" i="5"/>
  <c r="F25" i="5"/>
  <c r="J24" i="5"/>
  <c r="G24" i="5"/>
  <c r="F24" i="5"/>
  <c r="J23" i="5"/>
  <c r="G23" i="5"/>
  <c r="F23" i="5"/>
  <c r="F21" i="5"/>
  <c r="D21" i="5"/>
  <c r="I21" i="5"/>
  <c r="C21" i="5"/>
  <c r="B21" i="5"/>
  <c r="A21" i="5"/>
  <c r="B6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AE24" i="1"/>
  <c r="AD24" i="1" s="1"/>
  <c r="AF24" i="1"/>
  <c r="CT24" i="1" s="1"/>
  <c r="AG24" i="1"/>
  <c r="AH24" i="1"/>
  <c r="AI24" i="1"/>
  <c r="CW24" i="1" s="1"/>
  <c r="V24" i="1" s="1"/>
  <c r="AJ24" i="1"/>
  <c r="CX24" i="1" s="1"/>
  <c r="CQ24" i="1"/>
  <c r="P24" i="1" s="1"/>
  <c r="CU24" i="1"/>
  <c r="T24" i="1" s="1"/>
  <c r="CV24" i="1"/>
  <c r="U24" i="1" s="1"/>
  <c r="FR24" i="1"/>
  <c r="GL24" i="1"/>
  <c r="GO24" i="1"/>
  <c r="GP24" i="1"/>
  <c r="GV24" i="1"/>
  <c r="GX24" i="1" s="1"/>
  <c r="C25" i="1"/>
  <c r="D25" i="1"/>
  <c r="I25" i="1"/>
  <c r="AC25" i="1"/>
  <c r="AE25" i="1"/>
  <c r="AF25" i="1"/>
  <c r="AG25" i="1"/>
  <c r="CU25" i="1" s="1"/>
  <c r="T25" i="1" s="1"/>
  <c r="AH25" i="1"/>
  <c r="AI25" i="1"/>
  <c r="CW25" i="1" s="1"/>
  <c r="V25" i="1" s="1"/>
  <c r="Z38" i="6" s="1"/>
  <c r="AJ25" i="1"/>
  <c r="CX25" i="1" s="1"/>
  <c r="W25" i="1" s="1"/>
  <c r="CV25" i="1"/>
  <c r="U25" i="1" s="1"/>
  <c r="FR25" i="1"/>
  <c r="GL25" i="1"/>
  <c r="GO25" i="1"/>
  <c r="GP25" i="1"/>
  <c r="GV25" i="1"/>
  <c r="GX25" i="1" s="1"/>
  <c r="C26" i="1"/>
  <c r="D26" i="1"/>
  <c r="I26" i="1"/>
  <c r="AC26" i="1"/>
  <c r="AE26" i="1"/>
  <c r="AD26" i="1" s="1"/>
  <c r="CR26" i="1" s="1"/>
  <c r="Q26" i="1" s="1"/>
  <c r="H48" i="7" s="1"/>
  <c r="AF26" i="1"/>
  <c r="AG26" i="1"/>
  <c r="CU26" i="1" s="1"/>
  <c r="T26" i="1" s="1"/>
  <c r="AH26" i="1"/>
  <c r="CV26" i="1" s="1"/>
  <c r="U26" i="1" s="1"/>
  <c r="AI26" i="1"/>
  <c r="AJ26" i="1"/>
  <c r="CX26" i="1" s="1"/>
  <c r="W26" i="1" s="1"/>
  <c r="CQ26" i="1"/>
  <c r="P26" i="1" s="1"/>
  <c r="CS26" i="1"/>
  <c r="R26" i="1" s="1"/>
  <c r="CW26" i="1"/>
  <c r="V26" i="1" s="1"/>
  <c r="FR26" i="1"/>
  <c r="GL26" i="1"/>
  <c r="GO26" i="1"/>
  <c r="GP26" i="1"/>
  <c r="GV26" i="1"/>
  <c r="GX26" i="1" s="1"/>
  <c r="C27" i="1"/>
  <c r="D27" i="1"/>
  <c r="I27" i="1"/>
  <c r="I29" i="1" s="1"/>
  <c r="AC27" i="1"/>
  <c r="AE27" i="1"/>
  <c r="AF27" i="1"/>
  <c r="AG27" i="1"/>
  <c r="CU27" i="1" s="1"/>
  <c r="T27" i="1" s="1"/>
  <c r="AH27" i="1"/>
  <c r="AI27" i="1"/>
  <c r="CW27" i="1" s="1"/>
  <c r="AJ27" i="1"/>
  <c r="CX27" i="1" s="1"/>
  <c r="W27" i="1" s="1"/>
  <c r="CT27" i="1"/>
  <c r="S27" i="1" s="1"/>
  <c r="CV27" i="1"/>
  <c r="FR27" i="1"/>
  <c r="GL27" i="1"/>
  <c r="FR71" i="1" s="1"/>
  <c r="GO27" i="1"/>
  <c r="GP27" i="1"/>
  <c r="GV27" i="1"/>
  <c r="I28" i="1"/>
  <c r="F51" i="7" s="1"/>
  <c r="AC28" i="1"/>
  <c r="AE28" i="1"/>
  <c r="AD28" i="1" s="1"/>
  <c r="CR28" i="1" s="1"/>
  <c r="Q28" i="1" s="1"/>
  <c r="AF28" i="1"/>
  <c r="CT28" i="1" s="1"/>
  <c r="S28" i="1" s="1"/>
  <c r="AG28" i="1"/>
  <c r="AH28" i="1"/>
  <c r="CV28" i="1" s="1"/>
  <c r="AI28" i="1"/>
  <c r="AJ28" i="1"/>
  <c r="CX28" i="1" s="1"/>
  <c r="W28" i="1" s="1"/>
  <c r="CQ28" i="1"/>
  <c r="CU28" i="1"/>
  <c r="CW28" i="1"/>
  <c r="V28" i="1" s="1"/>
  <c r="FR28" i="1"/>
  <c r="GL28" i="1"/>
  <c r="GO28" i="1"/>
  <c r="GP28" i="1"/>
  <c r="CD71" i="1" s="1"/>
  <c r="CD22" i="1" s="1"/>
  <c r="GV28" i="1"/>
  <c r="GX28" i="1" s="1"/>
  <c r="AC29" i="1"/>
  <c r="AE29" i="1"/>
  <c r="AF29" i="1"/>
  <c r="AG29" i="1"/>
  <c r="CU29" i="1" s="1"/>
  <c r="AH29" i="1"/>
  <c r="AI29" i="1"/>
  <c r="CW29" i="1" s="1"/>
  <c r="AJ29" i="1"/>
  <c r="CX29" i="1" s="1"/>
  <c r="W29" i="1" s="1"/>
  <c r="CV29" i="1"/>
  <c r="FR29" i="1"/>
  <c r="GL29" i="1"/>
  <c r="GO29" i="1"/>
  <c r="GP29" i="1"/>
  <c r="GV29" i="1"/>
  <c r="I30" i="1"/>
  <c r="F52" i="7" s="1"/>
  <c r="AC30" i="1"/>
  <c r="AE30" i="1"/>
  <c r="AD30" i="1" s="1"/>
  <c r="AF30" i="1"/>
  <c r="CT30" i="1" s="1"/>
  <c r="AG30" i="1"/>
  <c r="AH30" i="1"/>
  <c r="AI30" i="1"/>
  <c r="CW30" i="1" s="1"/>
  <c r="V30" i="1" s="1"/>
  <c r="AJ30" i="1"/>
  <c r="CX30" i="1" s="1"/>
  <c r="CQ30" i="1"/>
  <c r="P30" i="1" s="1"/>
  <c r="CU30" i="1"/>
  <c r="T30" i="1" s="1"/>
  <c r="CV30" i="1"/>
  <c r="U30" i="1" s="1"/>
  <c r="FR30" i="1"/>
  <c r="GL30" i="1"/>
  <c r="GO30" i="1"/>
  <c r="GP30" i="1"/>
  <c r="GV30" i="1"/>
  <c r="GX30" i="1" s="1"/>
  <c r="AC31" i="1"/>
  <c r="AE31" i="1"/>
  <c r="CS31" i="1" s="1"/>
  <c r="AF31" i="1"/>
  <c r="AG31" i="1"/>
  <c r="AH31" i="1"/>
  <c r="AI31" i="1"/>
  <c r="CW31" i="1" s="1"/>
  <c r="AJ31" i="1"/>
  <c r="CU31" i="1"/>
  <c r="CV31" i="1"/>
  <c r="CX31" i="1"/>
  <c r="FR31" i="1"/>
  <c r="GL31" i="1"/>
  <c r="GO31" i="1"/>
  <c r="GP31" i="1"/>
  <c r="GV31" i="1"/>
  <c r="C32" i="1"/>
  <c r="D32" i="1"/>
  <c r="I32" i="1"/>
  <c r="AC32" i="1"/>
  <c r="CQ32" i="1" s="1"/>
  <c r="P32" i="1" s="1"/>
  <c r="AE32" i="1"/>
  <c r="AD32" i="1" s="1"/>
  <c r="AF32" i="1"/>
  <c r="CT32" i="1" s="1"/>
  <c r="AG32" i="1"/>
  <c r="AH32" i="1"/>
  <c r="CV32" i="1" s="1"/>
  <c r="U32" i="1" s="1"/>
  <c r="AI32" i="1"/>
  <c r="CW32" i="1" s="1"/>
  <c r="V32" i="1" s="1"/>
  <c r="AJ32" i="1"/>
  <c r="CX32" i="1" s="1"/>
  <c r="CS32" i="1"/>
  <c r="R32" i="1" s="1"/>
  <c r="CU32" i="1"/>
  <c r="T32" i="1" s="1"/>
  <c r="FR32" i="1"/>
  <c r="GL32" i="1"/>
  <c r="GO32" i="1"/>
  <c r="GP32" i="1"/>
  <c r="GV32" i="1"/>
  <c r="GX32" i="1" s="1"/>
  <c r="C33" i="1"/>
  <c r="D33" i="1"/>
  <c r="I33" i="1"/>
  <c r="AC33" i="1"/>
  <c r="AE33" i="1"/>
  <c r="CS33" i="1" s="1"/>
  <c r="R33" i="1" s="1"/>
  <c r="AF33" i="1"/>
  <c r="AG33" i="1"/>
  <c r="CU33" i="1" s="1"/>
  <c r="AH33" i="1"/>
  <c r="AI33" i="1"/>
  <c r="CW33" i="1" s="1"/>
  <c r="V33" i="1" s="1"/>
  <c r="Z64" i="6" s="1"/>
  <c r="AJ33" i="1"/>
  <c r="CX33" i="1" s="1"/>
  <c r="W33" i="1" s="1"/>
  <c r="CT33" i="1"/>
  <c r="S33" i="1" s="1"/>
  <c r="CV33" i="1"/>
  <c r="U33" i="1" s="1"/>
  <c r="FR33" i="1"/>
  <c r="GL33" i="1"/>
  <c r="GO33" i="1"/>
  <c r="GP33" i="1"/>
  <c r="GV33" i="1"/>
  <c r="GX33" i="1" s="1"/>
  <c r="I34" i="1"/>
  <c r="F63" i="7" s="1"/>
  <c r="AC34" i="1"/>
  <c r="AE34" i="1"/>
  <c r="AD34" i="1" s="1"/>
  <c r="AF34" i="1"/>
  <c r="CT34" i="1" s="1"/>
  <c r="AG34" i="1"/>
  <c r="AH34" i="1"/>
  <c r="AI34" i="1"/>
  <c r="CW34" i="1" s="1"/>
  <c r="AJ34" i="1"/>
  <c r="CX34" i="1" s="1"/>
  <c r="CQ34" i="1"/>
  <c r="CS34" i="1"/>
  <c r="CU34" i="1"/>
  <c r="T34" i="1" s="1"/>
  <c r="CV34" i="1"/>
  <c r="U34" i="1" s="1"/>
  <c r="FR34" i="1"/>
  <c r="GL34" i="1"/>
  <c r="GO34" i="1"/>
  <c r="GP34" i="1"/>
  <c r="GV34" i="1"/>
  <c r="AC35" i="1"/>
  <c r="AE35" i="1"/>
  <c r="CS35" i="1" s="1"/>
  <c r="AF35" i="1"/>
  <c r="CT35" i="1" s="1"/>
  <c r="AG35" i="1"/>
  <c r="AH35" i="1"/>
  <c r="AI35" i="1"/>
  <c r="CW35" i="1" s="1"/>
  <c r="AJ35" i="1"/>
  <c r="CQ35" i="1"/>
  <c r="CU35" i="1"/>
  <c r="CV35" i="1"/>
  <c r="CX35" i="1"/>
  <c r="FR35" i="1"/>
  <c r="GL35" i="1"/>
  <c r="GO35" i="1"/>
  <c r="GP35" i="1"/>
  <c r="GV35" i="1"/>
  <c r="C36" i="1"/>
  <c r="D36" i="1"/>
  <c r="I36" i="1"/>
  <c r="AC36" i="1"/>
  <c r="AE36" i="1"/>
  <c r="AD36" i="1" s="1"/>
  <c r="AF36" i="1"/>
  <c r="CT36" i="1" s="1"/>
  <c r="S36" i="1" s="1"/>
  <c r="AG36" i="1"/>
  <c r="CU36" i="1" s="1"/>
  <c r="T36" i="1" s="1"/>
  <c r="AH36" i="1"/>
  <c r="CV36" i="1" s="1"/>
  <c r="U36" i="1" s="1"/>
  <c r="AI36" i="1"/>
  <c r="AJ36" i="1"/>
  <c r="CX36" i="1" s="1"/>
  <c r="W36" i="1" s="1"/>
  <c r="CQ36" i="1"/>
  <c r="P36" i="1" s="1"/>
  <c r="CS36" i="1"/>
  <c r="R36" i="1" s="1"/>
  <c r="CW36" i="1"/>
  <c r="V36" i="1" s="1"/>
  <c r="FR36" i="1"/>
  <c r="GL36" i="1"/>
  <c r="GO36" i="1"/>
  <c r="GP36" i="1"/>
  <c r="GV36" i="1"/>
  <c r="GX36" i="1"/>
  <c r="C37" i="1"/>
  <c r="D37" i="1"/>
  <c r="I37" i="1"/>
  <c r="AC37" i="1"/>
  <c r="AE37" i="1"/>
  <c r="CS37" i="1" s="1"/>
  <c r="R37" i="1" s="1"/>
  <c r="AF37" i="1"/>
  <c r="AG37" i="1"/>
  <c r="CU37" i="1" s="1"/>
  <c r="T37" i="1" s="1"/>
  <c r="AH37" i="1"/>
  <c r="AI37" i="1"/>
  <c r="CW37" i="1" s="1"/>
  <c r="V37" i="1" s="1"/>
  <c r="Z77" i="6" s="1"/>
  <c r="AJ37" i="1"/>
  <c r="CT37" i="1"/>
  <c r="S37" i="1" s="1"/>
  <c r="CV37" i="1"/>
  <c r="U37" i="1" s="1"/>
  <c r="CX37" i="1"/>
  <c r="W37" i="1" s="1"/>
  <c r="FR37" i="1"/>
  <c r="GL37" i="1"/>
  <c r="GO37" i="1"/>
  <c r="GP37" i="1"/>
  <c r="GV37" i="1"/>
  <c r="GX37" i="1"/>
  <c r="I38" i="1"/>
  <c r="F74" i="7" s="1"/>
  <c r="AC38" i="1"/>
  <c r="AD38" i="1"/>
  <c r="AB38" i="1" s="1"/>
  <c r="AE38" i="1"/>
  <c r="AF38" i="1"/>
  <c r="CT38" i="1" s="1"/>
  <c r="AG38" i="1"/>
  <c r="CU38" i="1" s="1"/>
  <c r="T38" i="1" s="1"/>
  <c r="AH38" i="1"/>
  <c r="CV38" i="1" s="1"/>
  <c r="U38" i="1" s="1"/>
  <c r="AI38" i="1"/>
  <c r="AJ38" i="1"/>
  <c r="CX38" i="1" s="1"/>
  <c r="CQ38" i="1"/>
  <c r="P38" i="1" s="1"/>
  <c r="CR38" i="1"/>
  <c r="Q38" i="1" s="1"/>
  <c r="CS38" i="1"/>
  <c r="R38" i="1" s="1"/>
  <c r="GK38" i="1" s="1"/>
  <c r="CW38" i="1"/>
  <c r="FR38" i="1"/>
  <c r="GL38" i="1"/>
  <c r="GO38" i="1"/>
  <c r="GP38" i="1"/>
  <c r="GV38" i="1"/>
  <c r="AC39" i="1"/>
  <c r="AE39" i="1"/>
  <c r="CS39" i="1" s="1"/>
  <c r="AF39" i="1"/>
  <c r="AG39" i="1"/>
  <c r="AH39" i="1"/>
  <c r="AI39" i="1"/>
  <c r="CW39" i="1" s="1"/>
  <c r="AJ39" i="1"/>
  <c r="CT39" i="1"/>
  <c r="CU39" i="1"/>
  <c r="CV39" i="1"/>
  <c r="CX39" i="1"/>
  <c r="FR39" i="1"/>
  <c r="GL39" i="1"/>
  <c r="GO39" i="1"/>
  <c r="GP39" i="1"/>
  <c r="GV39" i="1"/>
  <c r="I40" i="1"/>
  <c r="S40" i="1"/>
  <c r="AC40" i="1"/>
  <c r="AE40" i="1"/>
  <c r="CS40" i="1" s="1"/>
  <c r="R40" i="1" s="1"/>
  <c r="GK40" i="1" s="1"/>
  <c r="AF40" i="1"/>
  <c r="AG40" i="1"/>
  <c r="AH40" i="1"/>
  <c r="CV40" i="1" s="1"/>
  <c r="AI40" i="1"/>
  <c r="CW40" i="1" s="1"/>
  <c r="V40" i="1" s="1"/>
  <c r="AJ40" i="1"/>
  <c r="CT40" i="1"/>
  <c r="CU40" i="1"/>
  <c r="T40" i="1" s="1"/>
  <c r="CX40" i="1"/>
  <c r="FR40" i="1"/>
  <c r="GL40" i="1"/>
  <c r="GO40" i="1"/>
  <c r="GP40" i="1"/>
  <c r="GV40" i="1"/>
  <c r="I41" i="1"/>
  <c r="AC41" i="1"/>
  <c r="AE41" i="1"/>
  <c r="AD41" i="1" s="1"/>
  <c r="AF41" i="1"/>
  <c r="AG41" i="1"/>
  <c r="CU41" i="1" s="1"/>
  <c r="AH41" i="1"/>
  <c r="AI41" i="1"/>
  <c r="AJ41" i="1"/>
  <c r="CX41" i="1" s="1"/>
  <c r="CR41" i="1"/>
  <c r="Q41" i="1" s="1"/>
  <c r="W88" i="6" s="1"/>
  <c r="CV41" i="1"/>
  <c r="CW41" i="1"/>
  <c r="V41" i="1" s="1"/>
  <c r="Z88" i="6" s="1"/>
  <c r="FR41" i="1"/>
  <c r="GL41" i="1"/>
  <c r="GO41" i="1"/>
  <c r="GP41" i="1"/>
  <c r="GV41" i="1"/>
  <c r="I42" i="1"/>
  <c r="F76" i="7" s="1"/>
  <c r="AC42" i="1"/>
  <c r="CQ42" i="1" s="1"/>
  <c r="P42" i="1" s="1"/>
  <c r="AE42" i="1"/>
  <c r="AD42" i="1" s="1"/>
  <c r="AF42" i="1"/>
  <c r="CT42" i="1" s="1"/>
  <c r="AG42" i="1"/>
  <c r="CU42" i="1" s="1"/>
  <c r="T42" i="1" s="1"/>
  <c r="AH42" i="1"/>
  <c r="CV42" i="1" s="1"/>
  <c r="U42" i="1" s="1"/>
  <c r="AI42" i="1"/>
  <c r="CW42" i="1" s="1"/>
  <c r="AJ42" i="1"/>
  <c r="CX42" i="1" s="1"/>
  <c r="W42" i="1" s="1"/>
  <c r="CS42" i="1"/>
  <c r="R42" i="1" s="1"/>
  <c r="GK42" i="1" s="1"/>
  <c r="FR42" i="1"/>
  <c r="GL42" i="1"/>
  <c r="GO42" i="1"/>
  <c r="GP42" i="1"/>
  <c r="GV42" i="1"/>
  <c r="GX42" i="1" s="1"/>
  <c r="I43" i="1"/>
  <c r="AC43" i="1"/>
  <c r="AE43" i="1"/>
  <c r="AD43" i="1" s="1"/>
  <c r="AB43" i="1" s="1"/>
  <c r="G90" i="6" s="1"/>
  <c r="AF43" i="1"/>
  <c r="AG43" i="1"/>
  <c r="AH43" i="1"/>
  <c r="CV43" i="1" s="1"/>
  <c r="U43" i="1" s="1"/>
  <c r="Y90" i="6" s="1"/>
  <c r="AI43" i="1"/>
  <c r="CW43" i="1" s="1"/>
  <c r="V43" i="1" s="1"/>
  <c r="Z90" i="6" s="1"/>
  <c r="AJ43" i="1"/>
  <c r="CX43" i="1" s="1"/>
  <c r="W43" i="1" s="1"/>
  <c r="CQ43" i="1"/>
  <c r="P43" i="1" s="1"/>
  <c r="U90" i="6" s="1"/>
  <c r="CU43" i="1"/>
  <c r="T43" i="1" s="1"/>
  <c r="FR43" i="1"/>
  <c r="GL43" i="1"/>
  <c r="GO43" i="1"/>
  <c r="GP43" i="1"/>
  <c r="GV43" i="1"/>
  <c r="GX43" i="1" s="1"/>
  <c r="I44" i="1"/>
  <c r="F77" i="7" s="1"/>
  <c r="AC44" i="1"/>
  <c r="AE44" i="1"/>
  <c r="AF44" i="1"/>
  <c r="CT44" i="1" s="1"/>
  <c r="S44" i="1" s="1"/>
  <c r="AG44" i="1"/>
  <c r="CU44" i="1" s="1"/>
  <c r="AH44" i="1"/>
  <c r="AI44" i="1"/>
  <c r="CW44" i="1" s="1"/>
  <c r="AJ44" i="1"/>
  <c r="CX44" i="1" s="1"/>
  <c r="W44" i="1" s="1"/>
  <c r="CV44" i="1"/>
  <c r="FR44" i="1"/>
  <c r="GL44" i="1"/>
  <c r="GO44" i="1"/>
  <c r="GP44" i="1"/>
  <c r="GV44" i="1"/>
  <c r="GX44" i="1" s="1"/>
  <c r="I45" i="1"/>
  <c r="AC45" i="1"/>
  <c r="AD45" i="1"/>
  <c r="AB45" i="1" s="1"/>
  <c r="G92" i="6" s="1"/>
  <c r="AE45" i="1"/>
  <c r="AF45" i="1"/>
  <c r="AG45" i="1"/>
  <c r="AH45" i="1"/>
  <c r="CV45" i="1" s="1"/>
  <c r="U45" i="1" s="1"/>
  <c r="Y92" i="6" s="1"/>
  <c r="AI45" i="1"/>
  <c r="AJ45" i="1"/>
  <c r="CX45" i="1" s="1"/>
  <c r="CQ45" i="1"/>
  <c r="P45" i="1" s="1"/>
  <c r="U92" i="6" s="1"/>
  <c r="CR45" i="1"/>
  <c r="Q45" i="1" s="1"/>
  <c r="W92" i="6" s="1"/>
  <c r="CS45" i="1"/>
  <c r="R45" i="1" s="1"/>
  <c r="CU45" i="1"/>
  <c r="T45" i="1" s="1"/>
  <c r="CW45" i="1"/>
  <c r="V45" i="1" s="1"/>
  <c r="Z92" i="6" s="1"/>
  <c r="FR45" i="1"/>
  <c r="GL45" i="1"/>
  <c r="GO45" i="1"/>
  <c r="GP45" i="1"/>
  <c r="GV45" i="1"/>
  <c r="GX45" i="1" s="1"/>
  <c r="C46" i="1"/>
  <c r="D46" i="1"/>
  <c r="I46" i="1"/>
  <c r="AC46" i="1"/>
  <c r="CQ46" i="1" s="1"/>
  <c r="P46" i="1" s="1"/>
  <c r="AE46" i="1"/>
  <c r="AD46" i="1" s="1"/>
  <c r="CR46" i="1" s="1"/>
  <c r="Q46" i="1" s="1"/>
  <c r="H85" i="7" s="1"/>
  <c r="AF46" i="1"/>
  <c r="AG46" i="1"/>
  <c r="CU46" i="1" s="1"/>
  <c r="AH46" i="1"/>
  <c r="CV46" i="1" s="1"/>
  <c r="U46" i="1" s="1"/>
  <c r="AI46" i="1"/>
  <c r="CW46" i="1" s="1"/>
  <c r="V46" i="1" s="1"/>
  <c r="AJ46" i="1"/>
  <c r="CS46" i="1"/>
  <c r="R46" i="1" s="1"/>
  <c r="CT46" i="1"/>
  <c r="S46" i="1" s="1"/>
  <c r="H84" i="7" s="1"/>
  <c r="R84" i="7" s="1"/>
  <c r="CX46" i="1"/>
  <c r="FR46" i="1"/>
  <c r="GL46" i="1"/>
  <c r="GO46" i="1"/>
  <c r="GP46" i="1"/>
  <c r="GV46" i="1"/>
  <c r="GX46" i="1" s="1"/>
  <c r="C47" i="1"/>
  <c r="D47" i="1"/>
  <c r="I47" i="1"/>
  <c r="AC47" i="1"/>
  <c r="AD47" i="1"/>
  <c r="AE47" i="1"/>
  <c r="H71" i="5" s="1"/>
  <c r="R71" i="5" s="1"/>
  <c r="AF47" i="1"/>
  <c r="AG47" i="1"/>
  <c r="CU47" i="1" s="1"/>
  <c r="T47" i="1" s="1"/>
  <c r="AH47" i="1"/>
  <c r="CV47" i="1" s="1"/>
  <c r="U47" i="1" s="1"/>
  <c r="AI47" i="1"/>
  <c r="AJ47" i="1"/>
  <c r="CS47" i="1"/>
  <c r="R47" i="1" s="1"/>
  <c r="CW47" i="1"/>
  <c r="V47" i="1" s="1"/>
  <c r="Z94" i="6" s="1"/>
  <c r="CX47" i="1"/>
  <c r="W47" i="1" s="1"/>
  <c r="FR47" i="1"/>
  <c r="GL47" i="1"/>
  <c r="GO47" i="1"/>
  <c r="GP47" i="1"/>
  <c r="GV47" i="1"/>
  <c r="I48" i="1"/>
  <c r="F88" i="7" s="1"/>
  <c r="AB48" i="1"/>
  <c r="AC48" i="1"/>
  <c r="CQ48" i="1" s="1"/>
  <c r="P48" i="1" s="1"/>
  <c r="AE48" i="1"/>
  <c r="AD48" i="1" s="1"/>
  <c r="AF48" i="1"/>
  <c r="CT48" i="1" s="1"/>
  <c r="S48" i="1" s="1"/>
  <c r="AG48" i="1"/>
  <c r="CU48" i="1" s="1"/>
  <c r="T48" i="1" s="1"/>
  <c r="AH48" i="1"/>
  <c r="AI48" i="1"/>
  <c r="AJ48" i="1"/>
  <c r="CX48" i="1" s="1"/>
  <c r="W48" i="1" s="1"/>
  <c r="CR48" i="1"/>
  <c r="Q48" i="1" s="1"/>
  <c r="CS48" i="1"/>
  <c r="R48" i="1" s="1"/>
  <c r="GK48" i="1" s="1"/>
  <c r="CV48" i="1"/>
  <c r="U48" i="1" s="1"/>
  <c r="CW48" i="1"/>
  <c r="V48" i="1" s="1"/>
  <c r="FR48" i="1"/>
  <c r="GL48" i="1"/>
  <c r="GO48" i="1"/>
  <c r="GP48" i="1"/>
  <c r="GV48" i="1"/>
  <c r="GX48" i="1" s="1"/>
  <c r="I49" i="1"/>
  <c r="AC49" i="1"/>
  <c r="AE49" i="1"/>
  <c r="AD49" i="1" s="1"/>
  <c r="AF49" i="1"/>
  <c r="AG49" i="1"/>
  <c r="AH49" i="1"/>
  <c r="CV49" i="1" s="1"/>
  <c r="U49" i="1" s="1"/>
  <c r="Y103" i="6" s="1"/>
  <c r="AI49" i="1"/>
  <c r="CW49" i="1" s="1"/>
  <c r="V49" i="1" s="1"/>
  <c r="Z103" i="6" s="1"/>
  <c r="AJ49" i="1"/>
  <c r="CX49" i="1" s="1"/>
  <c r="CQ49" i="1"/>
  <c r="P49" i="1" s="1"/>
  <c r="U103" i="6" s="1"/>
  <c r="CS49" i="1"/>
  <c r="R49" i="1" s="1"/>
  <c r="CU49" i="1"/>
  <c r="T49" i="1" s="1"/>
  <c r="FR49" i="1"/>
  <c r="GL49" i="1"/>
  <c r="GO49" i="1"/>
  <c r="GP49" i="1"/>
  <c r="GV49" i="1"/>
  <c r="GX49" i="1" s="1"/>
  <c r="C50" i="1"/>
  <c r="D50" i="1"/>
  <c r="I50" i="1"/>
  <c r="AC50" i="1"/>
  <c r="CQ50" i="1" s="1"/>
  <c r="P50" i="1" s="1"/>
  <c r="AE50" i="1"/>
  <c r="AD50" i="1" s="1"/>
  <c r="CR50" i="1" s="1"/>
  <c r="Q50" i="1" s="1"/>
  <c r="H96" i="7" s="1"/>
  <c r="AF50" i="1"/>
  <c r="AG50" i="1"/>
  <c r="CU50" i="1" s="1"/>
  <c r="AH50" i="1"/>
  <c r="AI50" i="1"/>
  <c r="CW50" i="1" s="1"/>
  <c r="V50" i="1" s="1"/>
  <c r="AJ50" i="1"/>
  <c r="CT50" i="1"/>
  <c r="S50" i="1" s="1"/>
  <c r="H95" i="7" s="1"/>
  <c r="R95" i="7" s="1"/>
  <c r="CV50" i="1"/>
  <c r="U50" i="1" s="1"/>
  <c r="CX50" i="1"/>
  <c r="W50" i="1" s="1"/>
  <c r="FR50" i="1"/>
  <c r="GL50" i="1"/>
  <c r="GO50" i="1"/>
  <c r="GP50" i="1"/>
  <c r="GV50" i="1"/>
  <c r="GX50" i="1" s="1"/>
  <c r="C51" i="1"/>
  <c r="D51" i="1"/>
  <c r="I51" i="1"/>
  <c r="AC51" i="1"/>
  <c r="AE51" i="1"/>
  <c r="H82" i="5" s="1"/>
  <c r="R82" i="5" s="1"/>
  <c r="AF51" i="1"/>
  <c r="CT51" i="1" s="1"/>
  <c r="S51" i="1" s="1"/>
  <c r="AG51" i="1"/>
  <c r="AH51" i="1"/>
  <c r="CV51" i="1" s="1"/>
  <c r="U51" i="1" s="1"/>
  <c r="AI51" i="1"/>
  <c r="CW51" i="1" s="1"/>
  <c r="V51" i="1" s="1"/>
  <c r="Z105" i="6" s="1"/>
  <c r="AJ51" i="1"/>
  <c r="CX51" i="1" s="1"/>
  <c r="W51" i="1" s="1"/>
  <c r="CQ51" i="1"/>
  <c r="P51" i="1" s="1"/>
  <c r="CU51" i="1"/>
  <c r="T51" i="1" s="1"/>
  <c r="FR51" i="1"/>
  <c r="GL51" i="1"/>
  <c r="GO51" i="1"/>
  <c r="GP51" i="1"/>
  <c r="GV51" i="1"/>
  <c r="I52" i="1"/>
  <c r="F99" i="7" s="1"/>
  <c r="AC52" i="1"/>
  <c r="CQ52" i="1" s="1"/>
  <c r="P52" i="1" s="1"/>
  <c r="AE52" i="1"/>
  <c r="AD52" i="1" s="1"/>
  <c r="CR52" i="1" s="1"/>
  <c r="Q52" i="1" s="1"/>
  <c r="AF52" i="1"/>
  <c r="AG52" i="1"/>
  <c r="CU52" i="1" s="1"/>
  <c r="T52" i="1" s="1"/>
  <c r="AH52" i="1"/>
  <c r="CV52" i="1" s="1"/>
  <c r="U52" i="1" s="1"/>
  <c r="AI52" i="1"/>
  <c r="CW52" i="1" s="1"/>
  <c r="V52" i="1" s="1"/>
  <c r="AJ52" i="1"/>
  <c r="CX52" i="1" s="1"/>
  <c r="W52" i="1" s="1"/>
  <c r="CT52" i="1"/>
  <c r="S52" i="1" s="1"/>
  <c r="FR52" i="1"/>
  <c r="GL52" i="1"/>
  <c r="GO52" i="1"/>
  <c r="GP52" i="1"/>
  <c r="GV52" i="1"/>
  <c r="GX52" i="1"/>
  <c r="I53" i="1"/>
  <c r="AC53" i="1"/>
  <c r="AE53" i="1"/>
  <c r="AD53" i="1" s="1"/>
  <c r="AF53" i="1"/>
  <c r="AG53" i="1"/>
  <c r="CU53" i="1" s="1"/>
  <c r="T53" i="1" s="1"/>
  <c r="AH53" i="1"/>
  <c r="CV53" i="1" s="1"/>
  <c r="U53" i="1" s="1"/>
  <c r="Y114" i="6" s="1"/>
  <c r="AI53" i="1"/>
  <c r="AJ53" i="1"/>
  <c r="CX53" i="1" s="1"/>
  <c r="CQ53" i="1"/>
  <c r="P53" i="1" s="1"/>
  <c r="U114" i="6" s="1"/>
  <c r="CS53" i="1"/>
  <c r="R53" i="1" s="1"/>
  <c r="CW53" i="1"/>
  <c r="V53" i="1" s="1"/>
  <c r="Z114" i="6" s="1"/>
  <c r="FR53" i="1"/>
  <c r="GL53" i="1"/>
  <c r="GO53" i="1"/>
  <c r="GP53" i="1"/>
  <c r="GV53" i="1"/>
  <c r="GX53" i="1" s="1"/>
  <c r="AC54" i="1"/>
  <c r="AE54" i="1"/>
  <c r="CS54" i="1" s="1"/>
  <c r="AF54" i="1"/>
  <c r="AG54" i="1"/>
  <c r="AH54" i="1"/>
  <c r="AI54" i="1"/>
  <c r="CW54" i="1" s="1"/>
  <c r="AJ54" i="1"/>
  <c r="CT54" i="1"/>
  <c r="CU54" i="1"/>
  <c r="CV54" i="1"/>
  <c r="CX54" i="1"/>
  <c r="FR54" i="1"/>
  <c r="GL54" i="1"/>
  <c r="GO54" i="1"/>
  <c r="GP54" i="1"/>
  <c r="GV54" i="1"/>
  <c r="I55" i="1"/>
  <c r="AC55" i="1"/>
  <c r="AE55" i="1"/>
  <c r="AD55" i="1" s="1"/>
  <c r="CR55" i="1" s="1"/>
  <c r="AF55" i="1"/>
  <c r="CT55" i="1" s="1"/>
  <c r="S55" i="1" s="1"/>
  <c r="AG55" i="1"/>
  <c r="AH55" i="1"/>
  <c r="CV55" i="1" s="1"/>
  <c r="AI55" i="1"/>
  <c r="AJ55" i="1"/>
  <c r="CX55" i="1" s="1"/>
  <c r="W55" i="1" s="1"/>
  <c r="CQ55" i="1"/>
  <c r="P55" i="1" s="1"/>
  <c r="U116" i="6" s="1"/>
  <c r="CU55" i="1"/>
  <c r="CW55" i="1"/>
  <c r="V55" i="1" s="1"/>
  <c r="Z116" i="6" s="1"/>
  <c r="FR55" i="1"/>
  <c r="GL55" i="1"/>
  <c r="GO55" i="1"/>
  <c r="GP55" i="1"/>
  <c r="GV55" i="1"/>
  <c r="C56" i="1"/>
  <c r="D56" i="1"/>
  <c r="I56" i="1"/>
  <c r="AC56" i="1"/>
  <c r="AE56" i="1"/>
  <c r="CS56" i="1" s="1"/>
  <c r="R56" i="1" s="1"/>
  <c r="AF56" i="1"/>
  <c r="AG56" i="1"/>
  <c r="CU56" i="1" s="1"/>
  <c r="T56" i="1" s="1"/>
  <c r="AH56" i="1"/>
  <c r="CV56" i="1" s="1"/>
  <c r="U56" i="1" s="1"/>
  <c r="AI56" i="1"/>
  <c r="CW56" i="1" s="1"/>
  <c r="V56" i="1" s="1"/>
  <c r="AJ56" i="1"/>
  <c r="CQ56" i="1"/>
  <c r="P56" i="1" s="1"/>
  <c r="CT56" i="1"/>
  <c r="S56" i="1" s="1"/>
  <c r="CX56" i="1"/>
  <c r="W56" i="1" s="1"/>
  <c r="FR56" i="1"/>
  <c r="GK56" i="1"/>
  <c r="GL56" i="1"/>
  <c r="GO56" i="1"/>
  <c r="GP56" i="1"/>
  <c r="GV56" i="1"/>
  <c r="GX56" i="1" s="1"/>
  <c r="C57" i="1"/>
  <c r="D57" i="1"/>
  <c r="I57" i="1"/>
  <c r="AC57" i="1"/>
  <c r="H94" i="5" s="1"/>
  <c r="AE57" i="1"/>
  <c r="AD57" i="1" s="1"/>
  <c r="H93" i="5" s="1"/>
  <c r="AF57" i="1"/>
  <c r="AG57" i="1"/>
  <c r="AH57" i="1"/>
  <c r="CV57" i="1" s="1"/>
  <c r="U57" i="1" s="1"/>
  <c r="AI57" i="1"/>
  <c r="CW57" i="1" s="1"/>
  <c r="V57" i="1" s="1"/>
  <c r="Z118" i="6" s="1"/>
  <c r="AJ57" i="1"/>
  <c r="CX57" i="1" s="1"/>
  <c r="CQ57" i="1"/>
  <c r="CU57" i="1"/>
  <c r="T57" i="1" s="1"/>
  <c r="FR57" i="1"/>
  <c r="GL57" i="1"/>
  <c r="GO57" i="1"/>
  <c r="GP57" i="1"/>
  <c r="GV57" i="1"/>
  <c r="GX57" i="1" s="1"/>
  <c r="I58" i="1"/>
  <c r="F110" i="7" s="1"/>
  <c r="AC58" i="1"/>
  <c r="AE58" i="1"/>
  <c r="CS58" i="1" s="1"/>
  <c r="R58" i="1" s="1"/>
  <c r="GK58" i="1" s="1"/>
  <c r="AF58" i="1"/>
  <c r="CT58" i="1" s="1"/>
  <c r="S58" i="1" s="1"/>
  <c r="AG58" i="1"/>
  <c r="CU58" i="1" s="1"/>
  <c r="T58" i="1" s="1"/>
  <c r="AH58" i="1"/>
  <c r="AI58" i="1"/>
  <c r="CW58" i="1" s="1"/>
  <c r="V58" i="1" s="1"/>
  <c r="AJ58" i="1"/>
  <c r="CV58" i="1"/>
  <c r="U58" i="1" s="1"/>
  <c r="CX58" i="1"/>
  <c r="W58" i="1" s="1"/>
  <c r="FR58" i="1"/>
  <c r="GL58" i="1"/>
  <c r="GO58" i="1"/>
  <c r="GP58" i="1"/>
  <c r="GV58" i="1"/>
  <c r="GX58" i="1" s="1"/>
  <c r="I59" i="1"/>
  <c r="AC59" i="1"/>
  <c r="AE59" i="1"/>
  <c r="AD59" i="1" s="1"/>
  <c r="CR59" i="1" s="1"/>
  <c r="AF59" i="1"/>
  <c r="CT59" i="1" s="1"/>
  <c r="S59" i="1" s="1"/>
  <c r="AG59" i="1"/>
  <c r="AH59" i="1"/>
  <c r="CV59" i="1" s="1"/>
  <c r="AI59" i="1"/>
  <c r="AJ59" i="1"/>
  <c r="CX59" i="1" s="1"/>
  <c r="W59" i="1" s="1"/>
  <c r="CQ59" i="1"/>
  <c r="P59" i="1" s="1"/>
  <c r="U127" i="6" s="1"/>
  <c r="CS59" i="1"/>
  <c r="R59" i="1" s="1"/>
  <c r="CU59" i="1"/>
  <c r="CW59" i="1"/>
  <c r="V59" i="1" s="1"/>
  <c r="Z127" i="6" s="1"/>
  <c r="FR59" i="1"/>
  <c r="GL59" i="1"/>
  <c r="GO59" i="1"/>
  <c r="GP59" i="1"/>
  <c r="GV59" i="1"/>
  <c r="C60" i="1"/>
  <c r="D60" i="1"/>
  <c r="I60" i="1"/>
  <c r="AC60" i="1"/>
  <c r="AE60" i="1"/>
  <c r="AF60" i="1"/>
  <c r="AG60" i="1"/>
  <c r="CU60" i="1" s="1"/>
  <c r="T60" i="1" s="1"/>
  <c r="AH60" i="1"/>
  <c r="CV60" i="1" s="1"/>
  <c r="U60" i="1" s="1"/>
  <c r="AI60" i="1"/>
  <c r="CW60" i="1" s="1"/>
  <c r="V60" i="1" s="1"/>
  <c r="AJ60" i="1"/>
  <c r="CQ60" i="1"/>
  <c r="P60" i="1" s="1"/>
  <c r="CT60" i="1"/>
  <c r="S60" i="1" s="1"/>
  <c r="H117" i="7" s="1"/>
  <c r="R117" i="7" s="1"/>
  <c r="CX60" i="1"/>
  <c r="W60" i="1" s="1"/>
  <c r="FR60" i="1"/>
  <c r="GL60" i="1"/>
  <c r="GO60" i="1"/>
  <c r="GP60" i="1"/>
  <c r="GV60" i="1"/>
  <c r="GX60" i="1" s="1"/>
  <c r="C61" i="1"/>
  <c r="D61" i="1"/>
  <c r="I61" i="1"/>
  <c r="AC61" i="1"/>
  <c r="AE61" i="1"/>
  <c r="AF61" i="1"/>
  <c r="AG61" i="1"/>
  <c r="CU61" i="1" s="1"/>
  <c r="AH61" i="1"/>
  <c r="AI61" i="1"/>
  <c r="AJ61" i="1"/>
  <c r="CX61" i="1" s="1"/>
  <c r="CS61" i="1"/>
  <c r="R61" i="1" s="1"/>
  <c r="CV61" i="1"/>
  <c r="CW61" i="1"/>
  <c r="FR61" i="1"/>
  <c r="GL61" i="1"/>
  <c r="GO61" i="1"/>
  <c r="GP61" i="1"/>
  <c r="GV61" i="1"/>
  <c r="GX61" i="1" s="1"/>
  <c r="I62" i="1"/>
  <c r="F121" i="7" s="1"/>
  <c r="AC62" i="1"/>
  <c r="AE62" i="1"/>
  <c r="AF62" i="1"/>
  <c r="CT62" i="1" s="1"/>
  <c r="S62" i="1" s="1"/>
  <c r="AG62" i="1"/>
  <c r="CU62" i="1" s="1"/>
  <c r="T62" i="1" s="1"/>
  <c r="AH62" i="1"/>
  <c r="CV62" i="1" s="1"/>
  <c r="U62" i="1" s="1"/>
  <c r="AI62" i="1"/>
  <c r="AJ62" i="1"/>
  <c r="CX62" i="1" s="1"/>
  <c r="W62" i="1" s="1"/>
  <c r="CQ62" i="1"/>
  <c r="P62" i="1" s="1"/>
  <c r="CW62" i="1"/>
  <c r="V62" i="1" s="1"/>
  <c r="FR62" i="1"/>
  <c r="GL62" i="1"/>
  <c r="GO62" i="1"/>
  <c r="GP62" i="1"/>
  <c r="GV62" i="1"/>
  <c r="GX62" i="1" s="1"/>
  <c r="AC63" i="1"/>
  <c r="AE63" i="1"/>
  <c r="CS63" i="1" s="1"/>
  <c r="AF63" i="1"/>
  <c r="CT63" i="1" s="1"/>
  <c r="AG63" i="1"/>
  <c r="AH63" i="1"/>
  <c r="AI63" i="1"/>
  <c r="CW63" i="1" s="1"/>
  <c r="AJ63" i="1"/>
  <c r="CX63" i="1" s="1"/>
  <c r="CQ63" i="1"/>
  <c r="CU63" i="1"/>
  <c r="CV63" i="1"/>
  <c r="FR63" i="1"/>
  <c r="GL63" i="1"/>
  <c r="GO63" i="1"/>
  <c r="GP63" i="1"/>
  <c r="GV63" i="1"/>
  <c r="I64" i="1"/>
  <c r="F122" i="7" s="1"/>
  <c r="AC64" i="1"/>
  <c r="AE64" i="1"/>
  <c r="AD64" i="1" s="1"/>
  <c r="CR64" i="1" s="1"/>
  <c r="AF64" i="1"/>
  <c r="AG64" i="1"/>
  <c r="AH64" i="1"/>
  <c r="CV64" i="1" s="1"/>
  <c r="AI64" i="1"/>
  <c r="CW64" i="1" s="1"/>
  <c r="V64" i="1" s="1"/>
  <c r="AJ64" i="1"/>
  <c r="CX64" i="1" s="1"/>
  <c r="CQ64" i="1"/>
  <c r="CT64" i="1"/>
  <c r="S64" i="1" s="1"/>
  <c r="CU64" i="1"/>
  <c r="T64" i="1" s="1"/>
  <c r="FR64" i="1"/>
  <c r="GL64" i="1"/>
  <c r="GO64" i="1"/>
  <c r="GP64" i="1"/>
  <c r="GV64" i="1"/>
  <c r="GX64" i="1"/>
  <c r="AC65" i="1"/>
  <c r="AE65" i="1"/>
  <c r="AD65" i="1" s="1"/>
  <c r="CR65" i="1" s="1"/>
  <c r="AF65" i="1"/>
  <c r="AG65" i="1"/>
  <c r="CU65" i="1" s="1"/>
  <c r="AH65" i="1"/>
  <c r="CV65" i="1" s="1"/>
  <c r="AI65" i="1"/>
  <c r="CW65" i="1" s="1"/>
  <c r="AJ65" i="1"/>
  <c r="CS65" i="1"/>
  <c r="CT65" i="1"/>
  <c r="CX65" i="1"/>
  <c r="FR65" i="1"/>
  <c r="FQ71" i="1" s="1"/>
  <c r="GL65" i="1"/>
  <c r="GO65" i="1"/>
  <c r="GP65" i="1"/>
  <c r="GV65" i="1"/>
  <c r="O66" i="1"/>
  <c r="P66" i="1"/>
  <c r="Q66" i="1"/>
  <c r="R66" i="1"/>
  <c r="GK66" i="1" s="1"/>
  <c r="S66" i="1"/>
  <c r="T66" i="1"/>
  <c r="U66" i="1"/>
  <c r="V66" i="1"/>
  <c r="W66" i="1"/>
  <c r="X66" i="1"/>
  <c r="S127" i="7" s="1"/>
  <c r="Y66" i="1"/>
  <c r="U127" i="7" s="1"/>
  <c r="AB66" i="1"/>
  <c r="CP66" i="1" s="1"/>
  <c r="AC66" i="1"/>
  <c r="AD66" i="1"/>
  <c r="AE66" i="1"/>
  <c r="AF66" i="1"/>
  <c r="AG66" i="1"/>
  <c r="AH66" i="1"/>
  <c r="AI66" i="1"/>
  <c r="AJ66" i="1"/>
  <c r="FR66" i="1"/>
  <c r="GL66" i="1"/>
  <c r="GO66" i="1"/>
  <c r="GP66" i="1"/>
  <c r="GV66" i="1"/>
  <c r="GX66" i="1" s="1"/>
  <c r="O67" i="1"/>
  <c r="P67" i="1"/>
  <c r="U144" i="6" s="1"/>
  <c r="Q67" i="1"/>
  <c r="W144" i="6" s="1"/>
  <c r="R67" i="1"/>
  <c r="X144" i="6" s="1"/>
  <c r="S67" i="1"/>
  <c r="V144" i="6" s="1"/>
  <c r="T67" i="1"/>
  <c r="U67" i="1"/>
  <c r="V67" i="1"/>
  <c r="Z144" i="6" s="1"/>
  <c r="W67" i="1"/>
  <c r="X67" i="1"/>
  <c r="Y67" i="1"/>
  <c r="AB67" i="1"/>
  <c r="CP67" i="1" s="1"/>
  <c r="AC67" i="1"/>
  <c r="AD67" i="1"/>
  <c r="AE67" i="1"/>
  <c r="AF67" i="1"/>
  <c r="AG67" i="1"/>
  <c r="AH67" i="1"/>
  <c r="AI67" i="1"/>
  <c r="AJ67" i="1"/>
  <c r="FR67" i="1"/>
  <c r="GK67" i="1"/>
  <c r="GL67" i="1"/>
  <c r="GO67" i="1"/>
  <c r="GP67" i="1"/>
  <c r="GV67" i="1"/>
  <c r="GX67" i="1"/>
  <c r="O68" i="1"/>
  <c r="P68" i="1"/>
  <c r="Q68" i="1"/>
  <c r="R68" i="1"/>
  <c r="GK68" i="1" s="1"/>
  <c r="S68" i="1"/>
  <c r="T68" i="1"/>
  <c r="U68" i="1"/>
  <c r="V68" i="1"/>
  <c r="W68" i="1"/>
  <c r="X68" i="1"/>
  <c r="S129" i="7" s="1"/>
  <c r="Y68" i="1"/>
  <c r="U129" i="7" s="1"/>
  <c r="AB68" i="1"/>
  <c r="CP68" i="1" s="1"/>
  <c r="AC68" i="1"/>
  <c r="AD68" i="1"/>
  <c r="AE68" i="1"/>
  <c r="AF68" i="1"/>
  <c r="AG68" i="1"/>
  <c r="AH68" i="1"/>
  <c r="AI68" i="1"/>
  <c r="AJ68" i="1"/>
  <c r="FR68" i="1"/>
  <c r="GL68" i="1"/>
  <c r="GO68" i="1"/>
  <c r="GP68" i="1"/>
  <c r="GV68" i="1"/>
  <c r="GX68" i="1" s="1"/>
  <c r="O69" i="1"/>
  <c r="P69" i="1"/>
  <c r="U146" i="6" s="1"/>
  <c r="Q69" i="1"/>
  <c r="W146" i="6" s="1"/>
  <c r="R69" i="1"/>
  <c r="X146" i="6" s="1"/>
  <c r="S69" i="1"/>
  <c r="V146" i="6" s="1"/>
  <c r="T69" i="1"/>
  <c r="U69" i="1"/>
  <c r="V69" i="1"/>
  <c r="Z146" i="6" s="1"/>
  <c r="W69" i="1"/>
  <c r="X69" i="1"/>
  <c r="Y69" i="1"/>
  <c r="AB69" i="1"/>
  <c r="AC69" i="1"/>
  <c r="AD69" i="1"/>
  <c r="AE69" i="1"/>
  <c r="AF69" i="1"/>
  <c r="AG69" i="1"/>
  <c r="AH69" i="1"/>
  <c r="AI69" i="1"/>
  <c r="AJ69" i="1"/>
  <c r="FR69" i="1"/>
  <c r="GL69" i="1"/>
  <c r="GO69" i="1"/>
  <c r="GP69" i="1"/>
  <c r="GV69" i="1"/>
  <c r="GX69" i="1" s="1"/>
  <c r="B71" i="1"/>
  <c r="B22" i="1" s="1"/>
  <c r="C71" i="1"/>
  <c r="C22" i="1" s="1"/>
  <c r="D71" i="1"/>
  <c r="D22" i="1" s="1"/>
  <c r="F71" i="1"/>
  <c r="F22" i="1" s="1"/>
  <c r="G71" i="1"/>
  <c r="BB71" i="1"/>
  <c r="BB22" i="1" s="1"/>
  <c r="BX71" i="1"/>
  <c r="BX22" i="1" s="1"/>
  <c r="BZ71" i="1"/>
  <c r="BZ22" i="1" s="1"/>
  <c r="CK71" i="1"/>
  <c r="CK22" i="1" s="1"/>
  <c r="CL71" i="1"/>
  <c r="CL22" i="1" s="1"/>
  <c r="FP71" i="1"/>
  <c r="FP22" i="1" s="1"/>
  <c r="FV71" i="1"/>
  <c r="FV22" i="1" s="1"/>
  <c r="GC71" i="1"/>
  <c r="GC22" i="1" s="1"/>
  <c r="GD71" i="1"/>
  <c r="GD22" i="1" s="1"/>
  <c r="F103" i="1"/>
  <c r="P103" i="1"/>
  <c r="B108" i="1"/>
  <c r="B18" i="1" s="1"/>
  <c r="C108" i="1"/>
  <c r="C18" i="1" s="1"/>
  <c r="D108" i="1"/>
  <c r="D18" i="1" s="1"/>
  <c r="F108" i="1"/>
  <c r="F18" i="1" s="1"/>
  <c r="G108" i="1"/>
  <c r="BB108" i="1"/>
  <c r="BB18" i="1" s="1"/>
  <c r="F140" i="1"/>
  <c r="P140" i="1"/>
  <c r="GK53" i="1" l="1"/>
  <c r="X114" i="6"/>
  <c r="GK61" i="1"/>
  <c r="J119" i="7"/>
  <c r="X129" i="6"/>
  <c r="K104" i="5"/>
  <c r="AB49" i="1"/>
  <c r="G103" i="6" s="1"/>
  <c r="CR49" i="1"/>
  <c r="Q49" i="1" s="1"/>
  <c r="W103" i="6" s="1"/>
  <c r="AB36" i="1"/>
  <c r="CR36" i="1"/>
  <c r="Q36" i="1" s="1"/>
  <c r="H71" i="7" s="1"/>
  <c r="H62" i="7"/>
  <c r="FR22" i="1"/>
  <c r="EI71" i="1"/>
  <c r="CY56" i="1"/>
  <c r="X56" i="1" s="1"/>
  <c r="S105" i="7" s="1"/>
  <c r="H107" i="7"/>
  <c r="R107" i="7" s="1"/>
  <c r="V116" i="6"/>
  <c r="GK49" i="1"/>
  <c r="X103" i="6"/>
  <c r="GK37" i="1"/>
  <c r="J72" i="7"/>
  <c r="K57" i="5"/>
  <c r="X77" i="6"/>
  <c r="GK36" i="1"/>
  <c r="H72" i="7"/>
  <c r="R72" i="7" s="1"/>
  <c r="J95" i="7"/>
  <c r="V105" i="6"/>
  <c r="K80" i="5"/>
  <c r="GM67" i="1"/>
  <c r="GN67" i="1"/>
  <c r="CY59" i="1"/>
  <c r="X59" i="1" s="1"/>
  <c r="V127" i="6"/>
  <c r="AB53" i="1"/>
  <c r="G114" i="6" s="1"/>
  <c r="CR53" i="1"/>
  <c r="Q53" i="1" s="1"/>
  <c r="W114" i="6" s="1"/>
  <c r="GK33" i="1"/>
  <c r="J61" i="7"/>
  <c r="X64" i="6"/>
  <c r="K46" i="5"/>
  <c r="F60" i="6"/>
  <c r="E39" i="5"/>
  <c r="U29" i="1"/>
  <c r="Y60" i="6" s="1"/>
  <c r="AQ71" i="1"/>
  <c r="H109" i="7"/>
  <c r="AB47" i="1"/>
  <c r="G94" i="6" s="1"/>
  <c r="H72" i="5"/>
  <c r="H87" i="7"/>
  <c r="F88" i="6"/>
  <c r="E63" i="5"/>
  <c r="CY40" i="1"/>
  <c r="X40" i="1" s="1"/>
  <c r="S75" i="7" s="1"/>
  <c r="H73" i="7"/>
  <c r="GK32" i="1"/>
  <c r="H61" i="7"/>
  <c r="R61" i="7" s="1"/>
  <c r="S40" i="5"/>
  <c r="GX29" i="1"/>
  <c r="U39" i="5"/>
  <c r="S39" i="5"/>
  <c r="G46" i="6"/>
  <c r="G44" i="6"/>
  <c r="U21" i="5"/>
  <c r="H27" i="5" s="1"/>
  <c r="H23" i="5"/>
  <c r="S21" i="5"/>
  <c r="H26" i="5" s="1"/>
  <c r="G22" i="1"/>
  <c r="A132" i="7"/>
  <c r="C149" i="6"/>
  <c r="A117" i="5"/>
  <c r="GK69" i="1"/>
  <c r="V129" i="7"/>
  <c r="AB146" i="6"/>
  <c r="V114" i="5"/>
  <c r="Y146" i="6"/>
  <c r="L115" i="5"/>
  <c r="Q115" i="5" s="1"/>
  <c r="T127" i="7"/>
  <c r="AA144" i="6"/>
  <c r="T112" i="5"/>
  <c r="CC71" i="1"/>
  <c r="U110" i="5"/>
  <c r="CS64" i="1"/>
  <c r="R64" i="1" s="1"/>
  <c r="GK64" i="1" s="1"/>
  <c r="U64" i="1"/>
  <c r="AD63" i="1"/>
  <c r="CR63" i="1" s="1"/>
  <c r="V61" i="1"/>
  <c r="Z129" i="6" s="1"/>
  <c r="AD61" i="1"/>
  <c r="H104" i="5"/>
  <c r="R104" i="5" s="1"/>
  <c r="T59" i="1"/>
  <c r="F127" i="6"/>
  <c r="E98" i="5"/>
  <c r="CS57" i="1"/>
  <c r="R57" i="1" s="1"/>
  <c r="H113" i="7"/>
  <c r="Y118" i="6"/>
  <c r="L99" i="5"/>
  <c r="Q99" i="5" s="1"/>
  <c r="L97" i="5"/>
  <c r="T55" i="1"/>
  <c r="E88" i="5"/>
  <c r="F116" i="6"/>
  <c r="AD54" i="1"/>
  <c r="CR54" i="1" s="1"/>
  <c r="CT53" i="1"/>
  <c r="S53" i="1" s="1"/>
  <c r="V114" i="6" s="1"/>
  <c r="U87" i="5"/>
  <c r="S87" i="5"/>
  <c r="CS52" i="1"/>
  <c r="R52" i="1" s="1"/>
  <c r="GK52" i="1" s="1"/>
  <c r="H98" i="7"/>
  <c r="F103" i="6"/>
  <c r="E76" i="5"/>
  <c r="G102" i="6"/>
  <c r="G100" i="6"/>
  <c r="G101" i="6"/>
  <c r="H69" i="5"/>
  <c r="R69" i="5" s="1"/>
  <c r="U67" i="5"/>
  <c r="S67" i="5"/>
  <c r="GK46" i="1"/>
  <c r="H86" i="7"/>
  <c r="R86" i="7" s="1"/>
  <c r="D83" i="7"/>
  <c r="F82" i="7"/>
  <c r="H65" i="5"/>
  <c r="W65" i="5" s="1"/>
  <c r="V44" i="1"/>
  <c r="CS43" i="1"/>
  <c r="R43" i="1" s="1"/>
  <c r="U41" i="1"/>
  <c r="Y88" i="6" s="1"/>
  <c r="W41" i="1"/>
  <c r="U63" i="5"/>
  <c r="S63" i="5"/>
  <c r="AD40" i="1"/>
  <c r="CR40" i="1" s="1"/>
  <c r="GX40" i="1"/>
  <c r="F75" i="7"/>
  <c r="CQ39" i="1"/>
  <c r="V38" i="1"/>
  <c r="J70" i="7"/>
  <c r="V77" i="6"/>
  <c r="K55" i="5"/>
  <c r="CQ37" i="1"/>
  <c r="P37" i="1" s="1"/>
  <c r="H58" i="5"/>
  <c r="CY36" i="1"/>
  <c r="X36" i="1" s="1"/>
  <c r="S68" i="7" s="1"/>
  <c r="H70" i="7"/>
  <c r="R70" i="7" s="1"/>
  <c r="AD35" i="1"/>
  <c r="CR35" i="1" s="1"/>
  <c r="V34" i="1"/>
  <c r="CQ33" i="1"/>
  <c r="P33" i="1" s="1"/>
  <c r="H47" i="5"/>
  <c r="V31" i="1"/>
  <c r="Z62" i="6" s="1"/>
  <c r="R31" i="1"/>
  <c r="I31" i="1"/>
  <c r="GX31" i="1" s="1"/>
  <c r="CS30" i="1"/>
  <c r="R30" i="1" s="1"/>
  <c r="GK30" i="1" s="1"/>
  <c r="V29" i="1"/>
  <c r="Z60" i="6" s="1"/>
  <c r="T28" i="1"/>
  <c r="GX27" i="1"/>
  <c r="G57" i="6"/>
  <c r="G55" i="6"/>
  <c r="U30" i="5"/>
  <c r="S30" i="5"/>
  <c r="H32" i="5"/>
  <c r="AB26" i="1"/>
  <c r="CX8" i="3"/>
  <c r="F45" i="7"/>
  <c r="D46" i="7"/>
  <c r="CS25" i="1"/>
  <c r="R25" i="1" s="1"/>
  <c r="CZ25" i="1" s="1"/>
  <c r="Y25" i="1" s="1"/>
  <c r="H25" i="5"/>
  <c r="R25" i="5" s="1"/>
  <c r="CS24" i="1"/>
  <c r="R24" i="1" s="1"/>
  <c r="G146" i="6"/>
  <c r="H114" i="5"/>
  <c r="V127" i="7"/>
  <c r="AB144" i="6"/>
  <c r="V112" i="5"/>
  <c r="Y144" i="6"/>
  <c r="L113" i="5"/>
  <c r="Q113" i="5" s="1"/>
  <c r="CT61" i="1"/>
  <c r="G139" i="6"/>
  <c r="G137" i="6"/>
  <c r="G135" i="6"/>
  <c r="S100" i="5"/>
  <c r="H102" i="5"/>
  <c r="R102" i="5" s="1"/>
  <c r="U100" i="5"/>
  <c r="H120" i="7"/>
  <c r="AB59" i="1"/>
  <c r="G127" i="6" s="1"/>
  <c r="U98" i="5"/>
  <c r="S98" i="5"/>
  <c r="S88" i="5"/>
  <c r="U88" i="5"/>
  <c r="H87" i="5"/>
  <c r="W87" i="5" s="1"/>
  <c r="G112" i="6"/>
  <c r="H80" i="5"/>
  <c r="G111" i="6"/>
  <c r="U78" i="5"/>
  <c r="S78" i="5"/>
  <c r="H80" i="7"/>
  <c r="Y77" i="6"/>
  <c r="L66" i="5"/>
  <c r="Q66" i="5" s="1"/>
  <c r="L61" i="5"/>
  <c r="J59" i="7"/>
  <c r="K44" i="5"/>
  <c r="V64" i="6"/>
  <c r="J47" i="7"/>
  <c r="V49" i="6"/>
  <c r="K32" i="5"/>
  <c r="H50" i="7"/>
  <c r="BC71" i="1"/>
  <c r="AA146" i="6"/>
  <c r="T114" i="5"/>
  <c r="T129" i="7"/>
  <c r="P64" i="1"/>
  <c r="U61" i="1"/>
  <c r="CQ61" i="1"/>
  <c r="P61" i="1" s="1"/>
  <c r="H105" i="5"/>
  <c r="D116" i="7"/>
  <c r="F115" i="7"/>
  <c r="GK59" i="1"/>
  <c r="X127" i="6"/>
  <c r="AD58" i="1"/>
  <c r="CR58" i="1" s="1"/>
  <c r="Q58" i="1" s="1"/>
  <c r="F105" i="7"/>
  <c r="D106" i="7"/>
  <c r="CS55" i="1"/>
  <c r="R55" i="1" s="1"/>
  <c r="AB54" i="1"/>
  <c r="AB52" i="1"/>
  <c r="CS51" i="1"/>
  <c r="R51" i="1" s="1"/>
  <c r="H103" i="7"/>
  <c r="Y105" i="6"/>
  <c r="L89" i="5"/>
  <c r="Q89" i="5" s="1"/>
  <c r="L86" i="5"/>
  <c r="AD51" i="1"/>
  <c r="CS50" i="1"/>
  <c r="R50" i="1" s="1"/>
  <c r="F93" i="7"/>
  <c r="D94" i="7"/>
  <c r="H76" i="5"/>
  <c r="W76" i="5" s="1"/>
  <c r="CT47" i="1"/>
  <c r="S47" i="1" s="1"/>
  <c r="GX47" i="1"/>
  <c r="F94" i="6"/>
  <c r="E67" i="5"/>
  <c r="C95" i="6"/>
  <c r="C68" i="5"/>
  <c r="W46" i="1"/>
  <c r="CT45" i="1"/>
  <c r="S45" i="1" s="1"/>
  <c r="U65" i="5"/>
  <c r="S65" i="5"/>
  <c r="U44" i="1"/>
  <c r="H64" i="5"/>
  <c r="W64" i="5" s="1"/>
  <c r="CT41" i="1"/>
  <c r="S41" i="1" s="1"/>
  <c r="V88" i="6" s="1"/>
  <c r="W40" i="1"/>
  <c r="AB40" i="1"/>
  <c r="GX38" i="1"/>
  <c r="W38" i="1"/>
  <c r="S38" i="1"/>
  <c r="C78" i="6"/>
  <c r="F77" i="6"/>
  <c r="C54" i="5"/>
  <c r="E53" i="5"/>
  <c r="F68" i="7"/>
  <c r="D69" i="7"/>
  <c r="R34" i="1"/>
  <c r="GK34" i="1" s="1"/>
  <c r="C65" i="6"/>
  <c r="F64" i="6"/>
  <c r="C43" i="5"/>
  <c r="E42" i="5"/>
  <c r="F57" i="7"/>
  <c r="D58" i="7"/>
  <c r="T31" i="1"/>
  <c r="CQ31" i="1"/>
  <c r="P31" i="1" s="1"/>
  <c r="U62" i="6" s="1"/>
  <c r="CS28" i="1"/>
  <c r="R28" i="1" s="1"/>
  <c r="GK28" i="1" s="1"/>
  <c r="U28" i="1"/>
  <c r="V27" i="1"/>
  <c r="Z49" i="6" s="1"/>
  <c r="AD27" i="1"/>
  <c r="H34" i="5"/>
  <c r="R34" i="5" s="1"/>
  <c r="H43" i="7"/>
  <c r="Y38" i="6"/>
  <c r="L29" i="5"/>
  <c r="Q29" i="5" s="1"/>
  <c r="L28" i="5"/>
  <c r="I65" i="1"/>
  <c r="C130" i="6"/>
  <c r="F129" i="6"/>
  <c r="C101" i="5"/>
  <c r="E100" i="5"/>
  <c r="CP48" i="1"/>
  <c r="O48" i="1" s="1"/>
  <c r="H88" i="7" s="1"/>
  <c r="CQ47" i="1"/>
  <c r="P47" i="1" s="1"/>
  <c r="AD37" i="1"/>
  <c r="H57" i="5"/>
  <c r="R57" i="5" s="1"/>
  <c r="AD33" i="1"/>
  <c r="H46" i="5"/>
  <c r="R46" i="5" s="1"/>
  <c r="W31" i="1"/>
  <c r="C50" i="6"/>
  <c r="F49" i="6"/>
  <c r="C31" i="5"/>
  <c r="E30" i="5"/>
  <c r="G18" i="1"/>
  <c r="A139" i="7"/>
  <c r="AF139" i="7"/>
  <c r="AG156" i="6"/>
  <c r="C156" i="6"/>
  <c r="ET71" i="1"/>
  <c r="CP69" i="1"/>
  <c r="G144" i="6"/>
  <c r="H112" i="5"/>
  <c r="S65" i="1"/>
  <c r="V142" i="6" s="1"/>
  <c r="CQ65" i="1"/>
  <c r="W64" i="1"/>
  <c r="AB64" i="1"/>
  <c r="FU71" i="1"/>
  <c r="BY71" i="1"/>
  <c r="BY22" i="1" s="1"/>
  <c r="T61" i="1"/>
  <c r="H98" i="5"/>
  <c r="W98" i="5" s="1"/>
  <c r="AB58" i="1"/>
  <c r="CT57" i="1"/>
  <c r="S57" i="1" s="1"/>
  <c r="G124" i="6"/>
  <c r="G125" i="6"/>
  <c r="U90" i="5"/>
  <c r="H96" i="5" s="1"/>
  <c r="S90" i="5"/>
  <c r="H95" i="5" s="1"/>
  <c r="H92" i="5"/>
  <c r="P57" i="1"/>
  <c r="C119" i="6"/>
  <c r="F118" i="6"/>
  <c r="E90" i="5"/>
  <c r="C91" i="5"/>
  <c r="H88" i="5"/>
  <c r="W88" i="5" s="1"/>
  <c r="F114" i="6"/>
  <c r="E87" i="5"/>
  <c r="J98" i="7"/>
  <c r="U105" i="6"/>
  <c r="K83" i="5"/>
  <c r="AB51" i="1"/>
  <c r="G105" i="6" s="1"/>
  <c r="H83" i="5"/>
  <c r="GX51" i="1"/>
  <c r="C106" i="6"/>
  <c r="F105" i="6"/>
  <c r="E78" i="5"/>
  <c r="C79" i="5"/>
  <c r="CT49" i="1"/>
  <c r="U76" i="5"/>
  <c r="S76" i="5"/>
  <c r="GK47" i="1"/>
  <c r="X94" i="6"/>
  <c r="J86" i="7"/>
  <c r="K71" i="5"/>
  <c r="H91" i="7"/>
  <c r="L77" i="5"/>
  <c r="Q77" i="5" s="1"/>
  <c r="L75" i="5"/>
  <c r="Y94" i="6"/>
  <c r="CR47" i="1"/>
  <c r="Q47" i="1" s="1"/>
  <c r="H70" i="5"/>
  <c r="GK45" i="1"/>
  <c r="X92" i="6"/>
  <c r="F92" i="6"/>
  <c r="E65" i="5"/>
  <c r="T44" i="1"/>
  <c r="CT43" i="1"/>
  <c r="S43" i="1" s="1"/>
  <c r="U64" i="5"/>
  <c r="S64" i="5"/>
  <c r="F90" i="6"/>
  <c r="E64" i="5"/>
  <c r="V42" i="1"/>
  <c r="GX41" i="1"/>
  <c r="CS41" i="1"/>
  <c r="R41" i="1" s="1"/>
  <c r="CY41" i="1" s="1"/>
  <c r="X41" i="1" s="1"/>
  <c r="CQ41" i="1"/>
  <c r="H63" i="5"/>
  <c r="W63" i="5" s="1"/>
  <c r="S62" i="5"/>
  <c r="G83" i="6"/>
  <c r="G84" i="6"/>
  <c r="U53" i="5"/>
  <c r="S53" i="5"/>
  <c r="H55" i="5"/>
  <c r="CZ36" i="1"/>
  <c r="Y36" i="1" s="1"/>
  <c r="U68" i="7" s="1"/>
  <c r="U51" i="5"/>
  <c r="GX34" i="1"/>
  <c r="P34" i="1"/>
  <c r="H66" i="7"/>
  <c r="Y64" i="6"/>
  <c r="L52" i="5"/>
  <c r="Q52" i="5" s="1"/>
  <c r="L50" i="5"/>
  <c r="G72" i="6"/>
  <c r="G70" i="6"/>
  <c r="S42" i="5"/>
  <c r="U42" i="5"/>
  <c r="H44" i="5"/>
  <c r="CT31" i="1"/>
  <c r="S31" i="1" s="1"/>
  <c r="CT29" i="1"/>
  <c r="S29" i="1" s="1"/>
  <c r="V60" i="6" s="1"/>
  <c r="T29" i="1"/>
  <c r="P28" i="1"/>
  <c r="U27" i="1"/>
  <c r="CQ27" i="1"/>
  <c r="P27" i="1" s="1"/>
  <c r="H35" i="5"/>
  <c r="GK26" i="1"/>
  <c r="H49" i="7"/>
  <c r="R49" i="7" s="1"/>
  <c r="CT25" i="1"/>
  <c r="S25" i="1" s="1"/>
  <c r="C39" i="6"/>
  <c r="F38" i="6"/>
  <c r="E21" i="5"/>
  <c r="C22" i="5"/>
  <c r="D37" i="7"/>
  <c r="F36" i="7"/>
  <c r="FQ22" i="1"/>
  <c r="GA71" i="1"/>
  <c r="EH71" i="1"/>
  <c r="CZ64" i="1"/>
  <c r="Y64" i="1" s="1"/>
  <c r="U122" i="7" s="1"/>
  <c r="CY64" i="1"/>
  <c r="X64" i="1" s="1"/>
  <c r="S122" i="7" s="1"/>
  <c r="GN68" i="1"/>
  <c r="GM68" i="1"/>
  <c r="H129" i="7" s="1"/>
  <c r="G130" i="7" s="1"/>
  <c r="O130" i="7" s="1"/>
  <c r="CC22" i="1"/>
  <c r="AT71" i="1"/>
  <c r="W65" i="1"/>
  <c r="U65" i="1"/>
  <c r="Y142" i="6" s="1"/>
  <c r="V65" i="1"/>
  <c r="Z142" i="6" s="1"/>
  <c r="Q65" i="1"/>
  <c r="W142" i="6" s="1"/>
  <c r="AP71" i="1"/>
  <c r="GN66" i="1"/>
  <c r="GM66" i="1"/>
  <c r="H127" i="7" s="1"/>
  <c r="G128" i="7" s="1"/>
  <c r="O128" i="7" s="1"/>
  <c r="FU22" i="1"/>
  <c r="EL71" i="1"/>
  <c r="AQ108" i="1"/>
  <c r="F84" i="1"/>
  <c r="FY71" i="1"/>
  <c r="EG71" i="1"/>
  <c r="CG71" i="1"/>
  <c r="AO71" i="1"/>
  <c r="AD62" i="1"/>
  <c r="CS62" i="1"/>
  <c r="R62" i="1" s="1"/>
  <c r="W61" i="1"/>
  <c r="S61" i="1"/>
  <c r="CP52" i="1"/>
  <c r="O52" i="1" s="1"/>
  <c r="H99" i="7" s="1"/>
  <c r="CY48" i="1"/>
  <c r="X48" i="1" s="1"/>
  <c r="S88" i="7" s="1"/>
  <c r="CZ48" i="1"/>
  <c r="Y48" i="1" s="1"/>
  <c r="CY58" i="1"/>
  <c r="X58" i="1" s="1"/>
  <c r="S110" i="7" s="1"/>
  <c r="CZ58" i="1"/>
  <c r="Y58" i="1" s="1"/>
  <c r="U110" i="7" s="1"/>
  <c r="EU71" i="1"/>
  <c r="EM71" i="1"/>
  <c r="AU71" i="1"/>
  <c r="P65" i="1"/>
  <c r="CX125" i="3"/>
  <c r="CX129" i="3"/>
  <c r="CX133" i="3"/>
  <c r="CX126" i="3"/>
  <c r="CX130" i="3"/>
  <c r="CX134" i="3"/>
  <c r="CX127" i="3"/>
  <c r="CX131" i="3"/>
  <c r="CX128" i="3"/>
  <c r="CX132" i="3"/>
  <c r="CX124" i="3"/>
  <c r="I63" i="1"/>
  <c r="S109" i="5" s="1"/>
  <c r="CR57" i="1"/>
  <c r="Q57" i="1" s="1"/>
  <c r="AB57" i="1"/>
  <c r="G118" i="6" s="1"/>
  <c r="CY52" i="1"/>
  <c r="X52" i="1" s="1"/>
  <c r="S99" i="7" s="1"/>
  <c r="CZ52" i="1"/>
  <c r="Y52" i="1" s="1"/>
  <c r="U99" i="7" s="1"/>
  <c r="CY46" i="1"/>
  <c r="X46" i="1" s="1"/>
  <c r="S82" i="7" s="1"/>
  <c r="CZ46" i="1"/>
  <c r="Y46" i="1" s="1"/>
  <c r="U82" i="7" s="1"/>
  <c r="CP46" i="1"/>
  <c r="O46" i="1" s="1"/>
  <c r="F121" i="1"/>
  <c r="T65" i="1"/>
  <c r="AB65" i="1"/>
  <c r="G142" i="6" s="1"/>
  <c r="Q64" i="1"/>
  <c r="AB61" i="1"/>
  <c r="G129" i="6" s="1"/>
  <c r="AD60" i="1"/>
  <c r="CR60" i="1" s="1"/>
  <c r="Q60" i="1" s="1"/>
  <c r="H118" i="7" s="1"/>
  <c r="CS60" i="1"/>
  <c r="R60" i="1" s="1"/>
  <c r="H119" i="7" s="1"/>
  <c r="R119" i="7" s="1"/>
  <c r="CY50" i="1"/>
  <c r="X50" i="1" s="1"/>
  <c r="S93" i="7" s="1"/>
  <c r="CZ50" i="1"/>
  <c r="Y50" i="1" s="1"/>
  <c r="U93" i="7" s="1"/>
  <c r="CP50" i="1"/>
  <c r="O50" i="1" s="1"/>
  <c r="CY47" i="1"/>
  <c r="X47" i="1" s="1"/>
  <c r="CZ56" i="1"/>
  <c r="Y56" i="1" s="1"/>
  <c r="U105" i="7" s="1"/>
  <c r="H112" i="7" s="1"/>
  <c r="W53" i="1"/>
  <c r="T50" i="1"/>
  <c r="AB50" i="1"/>
  <c r="W49" i="1"/>
  <c r="S49" i="1"/>
  <c r="V103" i="6" s="1"/>
  <c r="T46" i="1"/>
  <c r="AB46" i="1"/>
  <c r="W45" i="1"/>
  <c r="CS44" i="1"/>
  <c r="R44" i="1" s="1"/>
  <c r="AD44" i="1"/>
  <c r="CR44" i="1" s="1"/>
  <c r="Q44" i="1" s="1"/>
  <c r="P35" i="1"/>
  <c r="U75" i="6" s="1"/>
  <c r="GX59" i="1"/>
  <c r="CQ58" i="1"/>
  <c r="P58" i="1" s="1"/>
  <c r="CP58" i="1" s="1"/>
  <c r="O58" i="1" s="1"/>
  <c r="H110" i="7" s="1"/>
  <c r="W57" i="1"/>
  <c r="GX55" i="1"/>
  <c r="AB55" i="1"/>
  <c r="G116" i="6" s="1"/>
  <c r="CQ54" i="1"/>
  <c r="CZ51" i="1"/>
  <c r="Y51" i="1" s="1"/>
  <c r="CX93" i="3"/>
  <c r="CX97" i="3"/>
  <c r="CX101" i="3"/>
  <c r="CX90" i="3"/>
  <c r="CX94" i="3"/>
  <c r="CX98" i="3"/>
  <c r="CX102" i="3"/>
  <c r="CX91" i="3"/>
  <c r="CX95" i="3"/>
  <c r="CX99" i="3"/>
  <c r="CX96" i="3"/>
  <c r="CX100" i="3"/>
  <c r="CX92" i="3"/>
  <c r="CX77" i="3"/>
  <c r="CX81" i="3"/>
  <c r="CX85" i="3"/>
  <c r="CX89" i="3"/>
  <c r="CX78" i="3"/>
  <c r="CX82" i="3"/>
  <c r="CX86" i="3"/>
  <c r="CX79" i="3"/>
  <c r="CX83" i="3"/>
  <c r="CX87" i="3"/>
  <c r="CX80" i="3"/>
  <c r="CX84" i="3"/>
  <c r="CX88" i="3"/>
  <c r="I54" i="1"/>
  <c r="CZ47" i="1"/>
  <c r="Y47" i="1" s="1"/>
  <c r="CX73" i="3"/>
  <c r="CX74" i="3"/>
  <c r="CX71" i="3"/>
  <c r="CX75" i="3"/>
  <c r="CX72" i="3"/>
  <c r="CX76" i="3"/>
  <c r="CX65" i="3"/>
  <c r="CX69" i="3"/>
  <c r="CX66" i="3"/>
  <c r="CX70" i="3"/>
  <c r="CX67" i="3"/>
  <c r="CX68" i="3"/>
  <c r="CQ44" i="1"/>
  <c r="P44" i="1" s="1"/>
  <c r="CY44" i="1"/>
  <c r="X44" i="1" s="1"/>
  <c r="S77" i="7" s="1"/>
  <c r="AB42" i="1"/>
  <c r="CR42" i="1"/>
  <c r="Q42" i="1" s="1"/>
  <c r="AB32" i="1"/>
  <c r="CR32" i="1"/>
  <c r="Q32" i="1" s="1"/>
  <c r="H60" i="7" s="1"/>
  <c r="CZ59" i="1"/>
  <c r="Y59" i="1" s="1"/>
  <c r="CX109" i="3"/>
  <c r="CX110" i="3"/>
  <c r="CX111" i="3"/>
  <c r="CX112" i="3"/>
  <c r="CX108" i="3"/>
  <c r="CP36" i="1"/>
  <c r="O36" i="1" s="1"/>
  <c r="CY33" i="1"/>
  <c r="X33" i="1" s="1"/>
  <c r="CZ33" i="1"/>
  <c r="Y33" i="1" s="1"/>
  <c r="CR30" i="1"/>
  <c r="Q30" i="1" s="1"/>
  <c r="AB30" i="1"/>
  <c r="U59" i="1"/>
  <c r="Y127" i="6" s="1"/>
  <c r="Q59" i="1"/>
  <c r="W127" i="6" s="1"/>
  <c r="AD56" i="1"/>
  <c r="CR56" i="1" s="1"/>
  <c r="Q56" i="1" s="1"/>
  <c r="U55" i="1"/>
  <c r="Y116" i="6" s="1"/>
  <c r="Q55" i="1"/>
  <c r="T39" i="1"/>
  <c r="CY37" i="1"/>
  <c r="X37" i="1" s="1"/>
  <c r="CZ37" i="1"/>
  <c r="Y37" i="1" s="1"/>
  <c r="S35" i="1"/>
  <c r="V75" i="6" s="1"/>
  <c r="CR34" i="1"/>
  <c r="Q34" i="1" s="1"/>
  <c r="AB34" i="1"/>
  <c r="CX113" i="3"/>
  <c r="CX117" i="3"/>
  <c r="CX121" i="3"/>
  <c r="CX114" i="3"/>
  <c r="CX118" i="3"/>
  <c r="CX122" i="3"/>
  <c r="CX115" i="3"/>
  <c r="CX119" i="3"/>
  <c r="CX123" i="3"/>
  <c r="CX116" i="3"/>
  <c r="CX120" i="3"/>
  <c r="CX105" i="3"/>
  <c r="CX106" i="3"/>
  <c r="CX103" i="3"/>
  <c r="CX107" i="3"/>
  <c r="CX104" i="3"/>
  <c r="CR43" i="1"/>
  <c r="Q43" i="1" s="1"/>
  <c r="W90" i="6" s="1"/>
  <c r="T41" i="1"/>
  <c r="AB41" i="1"/>
  <c r="G88" i="6" s="1"/>
  <c r="CQ40" i="1"/>
  <c r="P40" i="1" s="1"/>
  <c r="U40" i="1"/>
  <c r="Q40" i="1"/>
  <c r="GX39" i="1"/>
  <c r="CX57" i="3"/>
  <c r="CX61" i="3"/>
  <c r="CX58" i="3"/>
  <c r="CX62" i="3"/>
  <c r="CX55" i="3"/>
  <c r="CX59" i="3"/>
  <c r="CX63" i="3"/>
  <c r="CX64" i="3"/>
  <c r="CX56" i="3"/>
  <c r="CX60" i="3"/>
  <c r="I39" i="1"/>
  <c r="U62" i="5" s="1"/>
  <c r="CX45" i="3"/>
  <c r="CX49" i="3"/>
  <c r="CX53" i="3"/>
  <c r="CX46" i="3"/>
  <c r="CX50" i="3"/>
  <c r="CX54" i="3"/>
  <c r="CX47" i="3"/>
  <c r="CX51" i="3"/>
  <c r="CX48" i="3"/>
  <c r="CX52" i="3"/>
  <c r="W34" i="1"/>
  <c r="S34" i="1"/>
  <c r="CP34" i="1" s="1"/>
  <c r="O34" i="1" s="1"/>
  <c r="H63" i="7" s="1"/>
  <c r="AD31" i="1"/>
  <c r="CR31" i="1" s="1"/>
  <c r="Q31" i="1" s="1"/>
  <c r="W62" i="6" s="1"/>
  <c r="W30" i="1"/>
  <c r="S30" i="1"/>
  <c r="CQ29" i="1"/>
  <c r="P29" i="1" s="1"/>
  <c r="U60" i="6" s="1"/>
  <c r="V39" i="1"/>
  <c r="Z86" i="6" s="1"/>
  <c r="CP38" i="1"/>
  <c r="O38" i="1" s="1"/>
  <c r="H74" i="7" s="1"/>
  <c r="CY25" i="1"/>
  <c r="X25" i="1" s="1"/>
  <c r="S42" i="1"/>
  <c r="AD39" i="1"/>
  <c r="CR39" i="1" s="1"/>
  <c r="CR37" i="1"/>
  <c r="Q37" i="1" s="1"/>
  <c r="AB35" i="1"/>
  <c r="G75" i="6" s="1"/>
  <c r="T33" i="1"/>
  <c r="W32" i="1"/>
  <c r="S32" i="1"/>
  <c r="CP28" i="1"/>
  <c r="O28" i="1" s="1"/>
  <c r="H51" i="7" s="1"/>
  <c r="CR24" i="1"/>
  <c r="Q24" i="1" s="1"/>
  <c r="H39" i="7" s="1"/>
  <c r="AB24" i="1"/>
  <c r="P41" i="1"/>
  <c r="CZ40" i="1"/>
  <c r="Y40" i="1" s="1"/>
  <c r="U75" i="7" s="1"/>
  <c r="AB39" i="1"/>
  <c r="G86" i="6" s="1"/>
  <c r="CX41" i="3"/>
  <c r="CX38" i="3"/>
  <c r="CX42" i="3"/>
  <c r="CX39" i="3"/>
  <c r="CX43" i="3"/>
  <c r="CX40" i="3"/>
  <c r="CX44" i="3"/>
  <c r="I35" i="1"/>
  <c r="CX33" i="3"/>
  <c r="CX37" i="3"/>
  <c r="CX34" i="3"/>
  <c r="CX31" i="3"/>
  <c r="CX35" i="3"/>
  <c r="CX32" i="3"/>
  <c r="CX36" i="3"/>
  <c r="CS29" i="1"/>
  <c r="R29" i="1" s="1"/>
  <c r="AD29" i="1"/>
  <c r="CR29" i="1" s="1"/>
  <c r="Q29" i="1" s="1"/>
  <c r="W60" i="6" s="1"/>
  <c r="CY28" i="1"/>
  <c r="X28" i="1" s="1"/>
  <c r="S51" i="7" s="1"/>
  <c r="CZ28" i="1"/>
  <c r="Y28" i="1" s="1"/>
  <c r="U51" i="7" s="1"/>
  <c r="AB28" i="1"/>
  <c r="CS27" i="1"/>
  <c r="R27" i="1" s="1"/>
  <c r="CX21" i="3"/>
  <c r="CX25" i="3"/>
  <c r="CX29" i="3"/>
  <c r="CX22" i="3"/>
  <c r="CX26" i="3"/>
  <c r="CX30" i="3"/>
  <c r="CX19" i="3"/>
  <c r="CX23" i="3"/>
  <c r="CX27" i="3"/>
  <c r="CQ25" i="1"/>
  <c r="P25" i="1" s="1"/>
  <c r="AD25" i="1"/>
  <c r="W24" i="1"/>
  <c r="S24" i="1"/>
  <c r="H38" i="7" s="1"/>
  <c r="R38" i="7" s="1"/>
  <c r="CX28" i="3"/>
  <c r="CX12" i="3"/>
  <c r="CX5" i="3"/>
  <c r="CX6" i="3"/>
  <c r="CX1" i="3"/>
  <c r="CX2" i="3"/>
  <c r="CX3" i="3"/>
  <c r="CX24" i="3"/>
  <c r="CT26" i="1"/>
  <c r="S26" i="1" s="1"/>
  <c r="H47" i="7" s="1"/>
  <c r="R47" i="7" s="1"/>
  <c r="CX20" i="3"/>
  <c r="CX4" i="3"/>
  <c r="CX9" i="3"/>
  <c r="CX13" i="3"/>
  <c r="CX17" i="3"/>
  <c r="CX10" i="3"/>
  <c r="CX14" i="3"/>
  <c r="CX18" i="3"/>
  <c r="CX7" i="3"/>
  <c r="CX11" i="3"/>
  <c r="CX15" i="3"/>
  <c r="CX16" i="3"/>
  <c r="H49" i="5" l="1"/>
  <c r="H84" i="5"/>
  <c r="T75" i="7"/>
  <c r="AA88" i="6"/>
  <c r="T63" i="5"/>
  <c r="J107" i="7"/>
  <c r="V118" i="6"/>
  <c r="K92" i="5"/>
  <c r="V36" i="7"/>
  <c r="J42" i="7" s="1"/>
  <c r="H46" i="6"/>
  <c r="AB38" i="6"/>
  <c r="V21" i="5"/>
  <c r="K27" i="5" s="1"/>
  <c r="V92" i="6"/>
  <c r="CP45" i="1"/>
  <c r="O45" i="1" s="1"/>
  <c r="CR25" i="1"/>
  <c r="Q25" i="1" s="1"/>
  <c r="H24" i="5"/>
  <c r="W29" i="5" s="1"/>
  <c r="T36" i="7"/>
  <c r="J41" i="7" s="1"/>
  <c r="H44" i="6"/>
  <c r="AA38" i="6"/>
  <c r="T21" i="5"/>
  <c r="K26" i="5" s="1"/>
  <c r="ET22" i="1"/>
  <c r="P84" i="1"/>
  <c r="ET108" i="1"/>
  <c r="H45" i="5"/>
  <c r="CR33" i="1"/>
  <c r="Q33" i="1" s="1"/>
  <c r="CR51" i="1"/>
  <c r="Q51" i="1" s="1"/>
  <c r="H81" i="5"/>
  <c r="R80" i="5"/>
  <c r="G115" i="5"/>
  <c r="O115" i="5" s="1"/>
  <c r="W115" i="5"/>
  <c r="W35" i="1"/>
  <c r="F75" i="6"/>
  <c r="E51" i="5"/>
  <c r="V68" i="7"/>
  <c r="AB77" i="6"/>
  <c r="H84" i="6"/>
  <c r="V53" i="5"/>
  <c r="CP42" i="1"/>
  <c r="O42" i="1" s="1"/>
  <c r="H76" i="7" s="1"/>
  <c r="CZ41" i="1"/>
  <c r="Y41" i="1" s="1"/>
  <c r="AB60" i="1"/>
  <c r="H89" i="7"/>
  <c r="AB63" i="1"/>
  <c r="G140" i="6" s="1"/>
  <c r="CP59" i="1"/>
  <c r="O59" i="1" s="1"/>
  <c r="CP49" i="1"/>
  <c r="O49" i="1" s="1"/>
  <c r="CI71" i="1"/>
  <c r="CI22" i="1" s="1"/>
  <c r="T63" i="1"/>
  <c r="J38" i="7"/>
  <c r="K23" i="5"/>
  <c r="V38" i="6"/>
  <c r="J50" i="7"/>
  <c r="K35" i="5"/>
  <c r="U49" i="6"/>
  <c r="J109" i="7"/>
  <c r="U118" i="6"/>
  <c r="K94" i="5"/>
  <c r="G126" i="6"/>
  <c r="G113" i="5"/>
  <c r="O113" i="5" s="1"/>
  <c r="W113" i="5"/>
  <c r="GX65" i="1"/>
  <c r="F142" i="6"/>
  <c r="E110" i="5"/>
  <c r="H40" i="5"/>
  <c r="W40" i="5" s="1"/>
  <c r="J97" i="7"/>
  <c r="X105" i="6"/>
  <c r="K82" i="5"/>
  <c r="GK51" i="1"/>
  <c r="J120" i="7"/>
  <c r="U129" i="6"/>
  <c r="K105" i="5"/>
  <c r="G113" i="6"/>
  <c r="R32" i="5"/>
  <c r="GK57" i="1"/>
  <c r="X118" i="6"/>
  <c r="U40" i="5"/>
  <c r="J127" i="7"/>
  <c r="I128" i="7" s="1"/>
  <c r="P128" i="7" s="1"/>
  <c r="T144" i="6"/>
  <c r="H144" i="6"/>
  <c r="K112" i="5"/>
  <c r="J113" i="5" s="1"/>
  <c r="P113" i="5" s="1"/>
  <c r="CY51" i="1"/>
  <c r="X51" i="1" s="1"/>
  <c r="H111" i="7"/>
  <c r="J49" i="7"/>
  <c r="X49" i="6"/>
  <c r="K34" i="5"/>
  <c r="CP32" i="1"/>
  <c r="O32" i="1" s="1"/>
  <c r="H59" i="7"/>
  <c r="R59" i="7" s="1"/>
  <c r="T57" i="7"/>
  <c r="H70" i="6"/>
  <c r="AA64" i="6"/>
  <c r="T42" i="5"/>
  <c r="Q54" i="1"/>
  <c r="F100" i="7"/>
  <c r="W63" i="1"/>
  <c r="E109" i="5"/>
  <c r="F140" i="6"/>
  <c r="CR27" i="1"/>
  <c r="Q27" i="1" s="1"/>
  <c r="CP27" i="1" s="1"/>
  <c r="O27" i="1" s="1"/>
  <c r="H33" i="5"/>
  <c r="H39" i="5"/>
  <c r="W39" i="5" s="1"/>
  <c r="GK55" i="1"/>
  <c r="X116" i="6"/>
  <c r="BC22" i="1"/>
  <c r="F87" i="1"/>
  <c r="J62" i="7"/>
  <c r="U64" i="6"/>
  <c r="K47" i="5"/>
  <c r="H74" i="5"/>
  <c r="R23" i="5"/>
  <c r="I44" i="7"/>
  <c r="P44" i="7" s="1"/>
  <c r="U38" i="6"/>
  <c r="GK29" i="1"/>
  <c r="X60" i="6"/>
  <c r="CP37" i="1"/>
  <c r="O37" i="1" s="1"/>
  <c r="J71" i="7"/>
  <c r="W77" i="6"/>
  <c r="K56" i="5"/>
  <c r="T35" i="1"/>
  <c r="V110" i="7"/>
  <c r="AB127" i="6"/>
  <c r="V98" i="5"/>
  <c r="CP44" i="1"/>
  <c r="O44" i="1" s="1"/>
  <c r="H77" i="7" s="1"/>
  <c r="CP26" i="1"/>
  <c r="O26" i="1" s="1"/>
  <c r="AB33" i="1"/>
  <c r="AB31" i="1"/>
  <c r="G62" i="6" s="1"/>
  <c r="W39" i="1"/>
  <c r="EB71" i="1" s="1"/>
  <c r="E62" i="5"/>
  <c r="F86" i="6"/>
  <c r="T68" i="7"/>
  <c r="H83" i="6"/>
  <c r="AA77" i="6"/>
  <c r="T53" i="5"/>
  <c r="CP56" i="1"/>
  <c r="O56" i="1" s="1"/>
  <c r="H108" i="7"/>
  <c r="CP30" i="1"/>
  <c r="O30" i="1" s="1"/>
  <c r="H52" i="7" s="1"/>
  <c r="CZ29" i="1"/>
  <c r="Y29" i="1" s="1"/>
  <c r="AB44" i="1"/>
  <c r="GX63" i="1"/>
  <c r="CP65" i="1"/>
  <c r="O65" i="1" s="1"/>
  <c r="U142" i="6"/>
  <c r="CP60" i="1"/>
  <c r="O60" i="1" s="1"/>
  <c r="GN60" i="1" s="1"/>
  <c r="BC108" i="1"/>
  <c r="H55" i="7"/>
  <c r="L41" i="5"/>
  <c r="Q41" i="5" s="1"/>
  <c r="L38" i="5"/>
  <c r="Y49" i="6"/>
  <c r="CY31" i="1"/>
  <c r="X31" i="1" s="1"/>
  <c r="V62" i="6"/>
  <c r="CZ31" i="1"/>
  <c r="Y31" i="1" s="1"/>
  <c r="GN31" i="1" s="1"/>
  <c r="R55" i="5"/>
  <c r="J85" i="7"/>
  <c r="W94" i="6"/>
  <c r="K70" i="5"/>
  <c r="W99" i="5"/>
  <c r="G99" i="5"/>
  <c r="O99" i="5" s="1"/>
  <c r="R92" i="5"/>
  <c r="U109" i="5"/>
  <c r="H107" i="5" s="1"/>
  <c r="H110" i="5"/>
  <c r="W110" i="5" s="1"/>
  <c r="AB37" i="1"/>
  <c r="H56" i="5"/>
  <c r="CY38" i="1"/>
  <c r="X38" i="1" s="1"/>
  <c r="S74" i="7" s="1"/>
  <c r="CZ38" i="1"/>
  <c r="Y38" i="1" s="1"/>
  <c r="U74" i="7" s="1"/>
  <c r="H125" i="7"/>
  <c r="Y129" i="6"/>
  <c r="L108" i="5"/>
  <c r="L111" i="5"/>
  <c r="Q111" i="5" s="1"/>
  <c r="H85" i="5"/>
  <c r="R65" i="1"/>
  <c r="GK24" i="1"/>
  <c r="H40" i="7"/>
  <c r="R40" i="7" s="1"/>
  <c r="H36" i="5"/>
  <c r="J73" i="7"/>
  <c r="U77" i="6"/>
  <c r="K58" i="5"/>
  <c r="CR61" i="1"/>
  <c r="Q61" i="1" s="1"/>
  <c r="H103" i="5"/>
  <c r="G114" i="7"/>
  <c r="O114" i="7" s="1"/>
  <c r="EI22" i="1"/>
  <c r="P81" i="1"/>
  <c r="EI108" i="1"/>
  <c r="CP55" i="1"/>
  <c r="O55" i="1" s="1"/>
  <c r="W116" i="6"/>
  <c r="H60" i="5"/>
  <c r="GK41" i="1"/>
  <c r="X88" i="6"/>
  <c r="GK25" i="1"/>
  <c r="J40" i="7"/>
  <c r="X38" i="6"/>
  <c r="K25" i="5"/>
  <c r="X62" i="6"/>
  <c r="GK31" i="1"/>
  <c r="GK43" i="1"/>
  <c r="X90" i="6"/>
  <c r="AB27" i="1"/>
  <c r="CP41" i="1"/>
  <c r="O41" i="1" s="1"/>
  <c r="U88" i="6"/>
  <c r="DY71" i="1"/>
  <c r="DY22" i="1" s="1"/>
  <c r="R35" i="1"/>
  <c r="Q35" i="1"/>
  <c r="W75" i="6" s="1"/>
  <c r="V57" i="7"/>
  <c r="H72" i="6"/>
  <c r="AB64" i="6"/>
  <c r="V42" i="5"/>
  <c r="CZ55" i="1"/>
  <c r="Y55" i="1" s="1"/>
  <c r="CZ43" i="1"/>
  <c r="Y43" i="1" s="1"/>
  <c r="V82" i="7"/>
  <c r="AB94" i="6"/>
  <c r="H101" i="6"/>
  <c r="V67" i="5"/>
  <c r="V93" i="7"/>
  <c r="AB105" i="6"/>
  <c r="H112" i="6"/>
  <c r="V78" i="5"/>
  <c r="CP31" i="1"/>
  <c r="O31" i="1" s="1"/>
  <c r="CP43" i="1"/>
  <c r="O43" i="1" s="1"/>
  <c r="H100" i="6"/>
  <c r="AA94" i="6"/>
  <c r="T82" i="7"/>
  <c r="T67" i="5"/>
  <c r="CP64" i="1"/>
  <c r="O64" i="1" s="1"/>
  <c r="H122" i="7" s="1"/>
  <c r="CP57" i="1"/>
  <c r="O57" i="1" s="1"/>
  <c r="J108" i="7"/>
  <c r="W118" i="6"/>
  <c r="K93" i="5"/>
  <c r="GM48" i="1"/>
  <c r="U88" i="7"/>
  <c r="H90" i="7" s="1"/>
  <c r="J117" i="7"/>
  <c r="K102" i="5"/>
  <c r="V129" i="6"/>
  <c r="V63" i="1"/>
  <c r="Z140" i="6" s="1"/>
  <c r="P63" i="1"/>
  <c r="U140" i="6" s="1"/>
  <c r="S63" i="1"/>
  <c r="V140" i="6" s="1"/>
  <c r="U63" i="1"/>
  <c r="Y140" i="6" s="1"/>
  <c r="R44" i="5"/>
  <c r="S51" i="5"/>
  <c r="H48" i="5" s="1"/>
  <c r="H59" i="5"/>
  <c r="CY43" i="1"/>
  <c r="X43" i="1" s="1"/>
  <c r="V90" i="6"/>
  <c r="GM69" i="1"/>
  <c r="GN69" i="1"/>
  <c r="CP47" i="1"/>
  <c r="O47" i="1" s="1"/>
  <c r="U94" i="6"/>
  <c r="J87" i="7"/>
  <c r="K72" i="5"/>
  <c r="H51" i="5"/>
  <c r="W51" i="5" s="1"/>
  <c r="J84" i="7"/>
  <c r="V94" i="6"/>
  <c r="K69" i="5"/>
  <c r="GK50" i="1"/>
  <c r="GM50" i="1" s="1"/>
  <c r="H97" i="7"/>
  <c r="R97" i="7" s="1"/>
  <c r="H109" i="5"/>
  <c r="W109" i="5" s="1"/>
  <c r="H37" i="5"/>
  <c r="F62" i="6"/>
  <c r="E40" i="5"/>
  <c r="H62" i="5"/>
  <c r="W62" i="5" s="1"/>
  <c r="H73" i="5"/>
  <c r="W77" i="5" s="1"/>
  <c r="S110" i="5"/>
  <c r="H106" i="5" s="1"/>
  <c r="AQ22" i="1"/>
  <c r="F81" i="1"/>
  <c r="U31" i="1"/>
  <c r="Y62" i="6" s="1"/>
  <c r="T110" i="7"/>
  <c r="T98" i="5"/>
  <c r="AA127" i="6"/>
  <c r="CY55" i="1"/>
  <c r="X55" i="1" s="1"/>
  <c r="GM55" i="1" s="1"/>
  <c r="GN56" i="1"/>
  <c r="GM56" i="1"/>
  <c r="AJ71" i="1"/>
  <c r="GK27" i="1"/>
  <c r="GM41" i="1"/>
  <c r="GN41" i="1"/>
  <c r="CZ27" i="1"/>
  <c r="Y27" i="1" s="1"/>
  <c r="GM38" i="1"/>
  <c r="GN38" i="1"/>
  <c r="AB25" i="1"/>
  <c r="GN36" i="1"/>
  <c r="GM36" i="1"/>
  <c r="AG71" i="1"/>
  <c r="GK60" i="1"/>
  <c r="CZ60" i="1"/>
  <c r="Y60" i="1" s="1"/>
  <c r="U115" i="7" s="1"/>
  <c r="AQ18" i="1"/>
  <c r="F118" i="1"/>
  <c r="CY26" i="1"/>
  <c r="X26" i="1" s="1"/>
  <c r="S45" i="7" s="1"/>
  <c r="CZ26" i="1"/>
  <c r="Y26" i="1" s="1"/>
  <c r="U45" i="7" s="1"/>
  <c r="GX35" i="1"/>
  <c r="CY27" i="1"/>
  <c r="X27" i="1" s="1"/>
  <c r="Q39" i="1"/>
  <c r="R39" i="1"/>
  <c r="CP29" i="1"/>
  <c r="O29" i="1" s="1"/>
  <c r="V35" i="1"/>
  <c r="GX54" i="1"/>
  <c r="CJ71" i="1" s="1"/>
  <c r="CY29" i="1"/>
  <c r="X29" i="1" s="1"/>
  <c r="U35" i="1"/>
  <c r="Y75" i="6" s="1"/>
  <c r="CY57" i="1"/>
  <c r="X57" i="1" s="1"/>
  <c r="CZ57" i="1"/>
  <c r="Y57" i="1" s="1"/>
  <c r="CY45" i="1"/>
  <c r="X45" i="1" s="1"/>
  <c r="CZ45" i="1"/>
  <c r="Y45" i="1" s="1"/>
  <c r="CY49" i="1"/>
  <c r="X49" i="1" s="1"/>
  <c r="GM49" i="1" s="1"/>
  <c r="CZ49" i="1"/>
  <c r="Y49" i="1" s="1"/>
  <c r="CY53" i="1"/>
  <c r="X53" i="1" s="1"/>
  <c r="CZ53" i="1"/>
  <c r="Y53" i="1" s="1"/>
  <c r="AB56" i="1"/>
  <c r="GN48" i="1"/>
  <c r="CP53" i="1"/>
  <c r="O53" i="1" s="1"/>
  <c r="AU22" i="1"/>
  <c r="F90" i="1"/>
  <c r="AU108" i="1"/>
  <c r="CZ61" i="1"/>
  <c r="Y61" i="1" s="1"/>
  <c r="CY61" i="1"/>
  <c r="X61" i="1" s="1"/>
  <c r="R63" i="1"/>
  <c r="EG22" i="1"/>
  <c r="P75" i="1"/>
  <c r="EG108" i="1"/>
  <c r="BC18" i="1"/>
  <c r="F124" i="1"/>
  <c r="AP22" i="1"/>
  <c r="AP108" i="1"/>
  <c r="F80" i="1"/>
  <c r="G16" i="2" s="1"/>
  <c r="G18" i="2" s="1"/>
  <c r="Q63" i="1"/>
  <c r="W140" i="6" s="1"/>
  <c r="CY24" i="1"/>
  <c r="X24" i="1" s="1"/>
  <c r="S36" i="7" s="1"/>
  <c r="H41" i="7" s="1"/>
  <c r="G44" i="7" s="1"/>
  <c r="O44" i="7" s="1"/>
  <c r="CZ24" i="1"/>
  <c r="Y24" i="1" s="1"/>
  <c r="U36" i="7" s="1"/>
  <c r="H42" i="7" s="1"/>
  <c r="GM28" i="1"/>
  <c r="GN28" i="1"/>
  <c r="CY42" i="1"/>
  <c r="X42" i="1" s="1"/>
  <c r="CZ42" i="1"/>
  <c r="Y42" i="1" s="1"/>
  <c r="U76" i="7" s="1"/>
  <c r="AB29" i="1"/>
  <c r="G60" i="6" s="1"/>
  <c r="CY34" i="1"/>
  <c r="X34" i="1" s="1"/>
  <c r="CZ34" i="1"/>
  <c r="Y34" i="1" s="1"/>
  <c r="U63" i="7" s="1"/>
  <c r="CP40" i="1"/>
  <c r="O40" i="1" s="1"/>
  <c r="H75" i="7" s="1"/>
  <c r="P39" i="1"/>
  <c r="U54" i="1"/>
  <c r="AH71" i="1" s="1"/>
  <c r="W54" i="1"/>
  <c r="P54" i="1"/>
  <c r="AC71" i="1" s="1"/>
  <c r="GM31" i="1"/>
  <c r="GN50" i="1"/>
  <c r="T54" i="1"/>
  <c r="EM22" i="1"/>
  <c r="P90" i="1"/>
  <c r="EM108" i="1"/>
  <c r="GM59" i="1"/>
  <c r="GN59" i="1"/>
  <c r="GN49" i="1"/>
  <c r="FY22" i="1"/>
  <c r="EP71" i="1"/>
  <c r="AZ71" i="1"/>
  <c r="CP24" i="1"/>
  <c r="O24" i="1" s="1"/>
  <c r="CY30" i="1"/>
  <c r="X30" i="1" s="1"/>
  <c r="CZ30" i="1"/>
  <c r="Y30" i="1" s="1"/>
  <c r="CY35" i="1"/>
  <c r="X35" i="1" s="1"/>
  <c r="CZ35" i="1"/>
  <c r="Y35" i="1" s="1"/>
  <c r="GN58" i="1"/>
  <c r="GM58" i="1"/>
  <c r="CP35" i="1"/>
  <c r="O35" i="1" s="1"/>
  <c r="R54" i="1"/>
  <c r="GK54" i="1" s="1"/>
  <c r="CY60" i="1"/>
  <c r="X60" i="1" s="1"/>
  <c r="S115" i="7" s="1"/>
  <c r="EU22" i="1"/>
  <c r="P87" i="1"/>
  <c r="EU108" i="1"/>
  <c r="GM52" i="1"/>
  <c r="GN52" i="1"/>
  <c r="GK62" i="1"/>
  <c r="CY62" i="1"/>
  <c r="X62" i="1" s="1"/>
  <c r="S121" i="7" s="1"/>
  <c r="AO22" i="1"/>
  <c r="F75" i="1"/>
  <c r="AO108" i="1"/>
  <c r="CZ62" i="1"/>
  <c r="Y62" i="1" s="1"/>
  <c r="U121" i="7" s="1"/>
  <c r="EH22" i="1"/>
  <c r="P80" i="1"/>
  <c r="EH108" i="1"/>
  <c r="GM26" i="1"/>
  <c r="CY32" i="1"/>
  <c r="X32" i="1" s="1"/>
  <c r="CZ32" i="1"/>
  <c r="Y32" i="1" s="1"/>
  <c r="U57" i="7" s="1"/>
  <c r="U39" i="1"/>
  <c r="Y86" i="6" s="1"/>
  <c r="S39" i="1"/>
  <c r="V86" i="6" s="1"/>
  <c r="GK44" i="1"/>
  <c r="CZ44" i="1"/>
  <c r="Y44" i="1" s="1"/>
  <c r="AE71" i="1"/>
  <c r="V54" i="1"/>
  <c r="AI71" i="1" s="1"/>
  <c r="GM46" i="1"/>
  <c r="GN46" i="1"/>
  <c r="S54" i="1"/>
  <c r="AF71" i="1" s="1"/>
  <c r="AB62" i="1"/>
  <c r="CR62" i="1"/>
  <c r="Q62" i="1" s="1"/>
  <c r="CP62" i="1" s="1"/>
  <c r="O62" i="1" s="1"/>
  <c r="H121" i="7" s="1"/>
  <c r="CG22" i="1"/>
  <c r="AX71" i="1"/>
  <c r="EL22" i="1"/>
  <c r="P89" i="1"/>
  <c r="EL108" i="1"/>
  <c r="AT22" i="1"/>
  <c r="F89" i="1"/>
  <c r="F16" i="2" s="1"/>
  <c r="F18" i="2" s="1"/>
  <c r="AT108" i="1"/>
  <c r="GA22" i="1"/>
  <c r="ER71" i="1"/>
  <c r="W41" i="5" l="1"/>
  <c r="W89" i="5"/>
  <c r="G29" i="5"/>
  <c r="O29" i="5" s="1"/>
  <c r="L117" i="5"/>
  <c r="G89" i="5"/>
  <c r="O89" i="5" s="1"/>
  <c r="W66" i="5"/>
  <c r="T49" i="6"/>
  <c r="H49" i="6"/>
  <c r="H59" i="6"/>
  <c r="G52" i="5"/>
  <c r="O52" i="5" s="1"/>
  <c r="W52" i="5"/>
  <c r="W111" i="5"/>
  <c r="G111" i="5"/>
  <c r="O111" i="5" s="1"/>
  <c r="G92" i="7"/>
  <c r="O92" i="7" s="1"/>
  <c r="V63" i="7"/>
  <c r="J65" i="7" s="1"/>
  <c r="AB75" i="6"/>
  <c r="V51" i="5"/>
  <c r="V76" i="7"/>
  <c r="AB90" i="6"/>
  <c r="V64" i="5"/>
  <c r="T93" i="7"/>
  <c r="H111" i="6"/>
  <c r="AA105" i="6"/>
  <c r="T78" i="5"/>
  <c r="GN26" i="1"/>
  <c r="CP39" i="1"/>
  <c r="O39" i="1" s="1"/>
  <c r="U86" i="6"/>
  <c r="GM34" i="1"/>
  <c r="S63" i="7"/>
  <c r="DL71" i="1"/>
  <c r="T115" i="7"/>
  <c r="H135" i="6"/>
  <c r="AA129" i="6"/>
  <c r="T100" i="5"/>
  <c r="AB114" i="6"/>
  <c r="V87" i="5"/>
  <c r="K85" i="5" s="1"/>
  <c r="V99" i="7"/>
  <c r="V77" i="7"/>
  <c r="AB92" i="6"/>
  <c r="V65" i="5"/>
  <c r="J51" i="7"/>
  <c r="H60" i="6"/>
  <c r="K39" i="5"/>
  <c r="T60" i="6"/>
  <c r="GB71" i="1"/>
  <c r="GB22" i="1" s="1"/>
  <c r="GN64" i="1"/>
  <c r="T94" i="6"/>
  <c r="H94" i="6"/>
  <c r="H102" i="6"/>
  <c r="GM47" i="1"/>
  <c r="GN47" i="1"/>
  <c r="T76" i="7"/>
  <c r="AA90" i="6"/>
  <c r="T64" i="5"/>
  <c r="J76" i="7"/>
  <c r="T90" i="6"/>
  <c r="H90" i="6"/>
  <c r="K64" i="5"/>
  <c r="V100" i="7"/>
  <c r="AB116" i="6"/>
  <c r="V88" i="5"/>
  <c r="EI18" i="1"/>
  <c r="P118" i="1"/>
  <c r="G77" i="6"/>
  <c r="G85" i="6"/>
  <c r="J88" i="7"/>
  <c r="H103" i="6"/>
  <c r="K76" i="5"/>
  <c r="T103" i="6"/>
  <c r="J60" i="7"/>
  <c r="W64" i="6"/>
  <c r="K45" i="5"/>
  <c r="CP33" i="1"/>
  <c r="O33" i="1" s="1"/>
  <c r="J77" i="7"/>
  <c r="T92" i="6"/>
  <c r="H92" i="6"/>
  <c r="K65" i="5"/>
  <c r="GM57" i="1"/>
  <c r="T105" i="7"/>
  <c r="J111" i="7" s="1"/>
  <c r="AA118" i="6"/>
  <c r="T90" i="5"/>
  <c r="K95" i="5" s="1"/>
  <c r="H124" i="6"/>
  <c r="EA71" i="1"/>
  <c r="Z75" i="6"/>
  <c r="T45" i="7"/>
  <c r="H55" i="6"/>
  <c r="AA49" i="6"/>
  <c r="T30" i="5"/>
  <c r="V45" i="7"/>
  <c r="AB49" i="6"/>
  <c r="H57" i="6"/>
  <c r="V30" i="5"/>
  <c r="AA116" i="6"/>
  <c r="T100" i="7"/>
  <c r="T88" i="5"/>
  <c r="J100" i="7"/>
  <c r="T116" i="6"/>
  <c r="H116" i="6"/>
  <c r="K88" i="5"/>
  <c r="H85" i="6"/>
  <c r="H77" i="6"/>
  <c r="T77" i="6"/>
  <c r="J64" i="7"/>
  <c r="J39" i="7"/>
  <c r="W38" i="6"/>
  <c r="K24" i="5"/>
  <c r="J29" i="5" s="1"/>
  <c r="P29" i="5" s="1"/>
  <c r="CP63" i="1"/>
  <c r="O63" i="1" s="1"/>
  <c r="GM60" i="1"/>
  <c r="T63" i="7"/>
  <c r="AA75" i="6"/>
  <c r="T51" i="5"/>
  <c r="K48" i="5" s="1"/>
  <c r="GN44" i="1"/>
  <c r="U77" i="7"/>
  <c r="H79" i="7" s="1"/>
  <c r="G81" i="7" s="1"/>
  <c r="O81" i="7" s="1"/>
  <c r="H123" i="7"/>
  <c r="G126" i="7" s="1"/>
  <c r="O126" i="7" s="1"/>
  <c r="GN43" i="1"/>
  <c r="V115" i="7"/>
  <c r="H137" i="6"/>
  <c r="AB129" i="6"/>
  <c r="V100" i="5"/>
  <c r="J99" i="7"/>
  <c r="T114" i="6"/>
  <c r="H114" i="6"/>
  <c r="K87" i="5"/>
  <c r="T99" i="7"/>
  <c r="AA114" i="6"/>
  <c r="T87" i="5"/>
  <c r="GN45" i="1"/>
  <c r="T77" i="7"/>
  <c r="AA92" i="6"/>
  <c r="T65" i="5"/>
  <c r="T51" i="7"/>
  <c r="AA60" i="6"/>
  <c r="T39" i="5"/>
  <c r="GK39" i="1"/>
  <c r="X86" i="6"/>
  <c r="H124" i="7"/>
  <c r="GM37" i="1"/>
  <c r="GM64" i="1"/>
  <c r="G66" i="5"/>
  <c r="O66" i="5" s="1"/>
  <c r="J52" i="7"/>
  <c r="T62" i="6"/>
  <c r="K40" i="5"/>
  <c r="H62" i="6"/>
  <c r="J102" i="7"/>
  <c r="K49" i="5"/>
  <c r="J75" i="7"/>
  <c r="H88" i="6"/>
  <c r="K63" i="5"/>
  <c r="T88" i="6"/>
  <c r="W129" i="6"/>
  <c r="J118" i="7"/>
  <c r="K103" i="5"/>
  <c r="CP61" i="1"/>
  <c r="O61" i="1" s="1"/>
  <c r="GM61" i="1" s="1"/>
  <c r="GK65" i="1"/>
  <c r="X142" i="6"/>
  <c r="CZ65" i="1"/>
  <c r="Y65" i="1" s="1"/>
  <c r="T52" i="7"/>
  <c r="T40" i="5"/>
  <c r="AA62" i="6"/>
  <c r="J122" i="7"/>
  <c r="H142" i="6"/>
  <c r="K110" i="5"/>
  <c r="V51" i="7"/>
  <c r="AB60" i="6"/>
  <c r="V39" i="5"/>
  <c r="G64" i="6"/>
  <c r="G74" i="6"/>
  <c r="CY65" i="1"/>
  <c r="X65" i="1" s="1"/>
  <c r="J110" i="7"/>
  <c r="I114" i="7" s="1"/>
  <c r="P114" i="7" s="1"/>
  <c r="T127" i="6"/>
  <c r="H127" i="6"/>
  <c r="K98" i="5"/>
  <c r="G77" i="5"/>
  <c r="O77" i="5" s="1"/>
  <c r="J63" i="7"/>
  <c r="T75" i="6"/>
  <c r="H75" i="6"/>
  <c r="K51" i="5"/>
  <c r="GM30" i="1"/>
  <c r="U52" i="7"/>
  <c r="H54" i="7" s="1"/>
  <c r="GM42" i="1"/>
  <c r="S76" i="7"/>
  <c r="H78" i="7" s="1"/>
  <c r="GK63" i="1"/>
  <c r="X140" i="6"/>
  <c r="AA103" i="6"/>
  <c r="T88" i="7"/>
  <c r="J89" i="7" s="1"/>
  <c r="T76" i="5"/>
  <c r="K73" i="5" s="1"/>
  <c r="V52" i="7"/>
  <c r="AB62" i="6"/>
  <c r="V40" i="5"/>
  <c r="G41" i="5"/>
  <c r="O41" i="5" s="1"/>
  <c r="GN30" i="1"/>
  <c r="S52" i="7"/>
  <c r="H53" i="7" s="1"/>
  <c r="H65" i="7"/>
  <c r="U16" i="2"/>
  <c r="U18" i="2" s="1"/>
  <c r="GM32" i="1"/>
  <c r="S57" i="7"/>
  <c r="V16" i="2"/>
  <c r="V18" i="2" s="1"/>
  <c r="DX71" i="1"/>
  <c r="CZ63" i="1"/>
  <c r="Y63" i="1" s="1"/>
  <c r="GM43" i="1"/>
  <c r="V88" i="7"/>
  <c r="J90" i="7" s="1"/>
  <c r="AB103" i="6"/>
  <c r="V76" i="5"/>
  <c r="K74" i="5" s="1"/>
  <c r="H125" i="6"/>
  <c r="V105" i="7"/>
  <c r="J112" i="7" s="1"/>
  <c r="AB118" i="6"/>
  <c r="V90" i="5"/>
  <c r="K96" i="5" s="1"/>
  <c r="DV71" i="1"/>
  <c r="DV22" i="1" s="1"/>
  <c r="W86" i="6"/>
  <c r="CP25" i="1"/>
  <c r="O25" i="1" s="1"/>
  <c r="G38" i="6"/>
  <c r="G48" i="6"/>
  <c r="GN37" i="1"/>
  <c r="GN55" i="1"/>
  <c r="J129" i="7"/>
  <c r="I130" i="7" s="1"/>
  <c r="P130" i="7" s="1"/>
  <c r="T146" i="6"/>
  <c r="H146" i="6"/>
  <c r="K114" i="5"/>
  <c r="J115" i="5" s="1"/>
  <c r="P115" i="5" s="1"/>
  <c r="H118" i="6"/>
  <c r="H126" i="6"/>
  <c r="T118" i="6"/>
  <c r="GK35" i="1"/>
  <c r="GM35" i="1" s="1"/>
  <c r="X75" i="6"/>
  <c r="G49" i="6"/>
  <c r="G59" i="6"/>
  <c r="G16" i="5"/>
  <c r="J48" i="7"/>
  <c r="W49" i="6"/>
  <c r="K33" i="5"/>
  <c r="V75" i="7"/>
  <c r="V63" i="5"/>
  <c r="AB88" i="6"/>
  <c r="J96" i="7"/>
  <c r="K81" i="5"/>
  <c r="W105" i="6"/>
  <c r="CP51" i="1"/>
  <c r="O51" i="1" s="1"/>
  <c r="ET18" i="1"/>
  <c r="P121" i="1"/>
  <c r="AH22" i="1"/>
  <c r="U71" i="1"/>
  <c r="AF22" i="1"/>
  <c r="S71" i="1"/>
  <c r="AE22" i="1"/>
  <c r="R71" i="1"/>
  <c r="AT18" i="1"/>
  <c r="F126" i="1"/>
  <c r="AO18" i="1"/>
  <c r="F112" i="1"/>
  <c r="EP22" i="1"/>
  <c r="P78" i="1"/>
  <c r="EP108" i="1"/>
  <c r="CP54" i="1"/>
  <c r="O54" i="1" s="1"/>
  <c r="H100" i="7" s="1"/>
  <c r="ES71" i="1"/>
  <c r="ER22" i="1"/>
  <c r="P82" i="1"/>
  <c r="ER108" i="1"/>
  <c r="AI22" i="1"/>
  <c r="V71" i="1"/>
  <c r="CZ39" i="1"/>
  <c r="Y39" i="1" s="1"/>
  <c r="CY39" i="1"/>
  <c r="X39" i="1" s="1"/>
  <c r="EU18" i="1"/>
  <c r="P124" i="1"/>
  <c r="GM44" i="1"/>
  <c r="CY63" i="1"/>
  <c r="X63" i="1" s="1"/>
  <c r="GM40" i="1"/>
  <c r="GN40" i="1"/>
  <c r="AP18" i="1"/>
  <c r="F117" i="1"/>
  <c r="EG18" i="1"/>
  <c r="P112" i="1"/>
  <c r="CJ22" i="1"/>
  <c r="BA71" i="1"/>
  <c r="EB22" i="1"/>
  <c r="DO71" i="1"/>
  <c r="GM45" i="1"/>
  <c r="DW71" i="1"/>
  <c r="GN42" i="1"/>
  <c r="GN57" i="1"/>
  <c r="CY54" i="1"/>
  <c r="X54" i="1" s="1"/>
  <c r="S100" i="7" s="1"/>
  <c r="H101" i="7" s="1"/>
  <c r="CZ54" i="1"/>
  <c r="Y54" i="1" s="1"/>
  <c r="GN35" i="1"/>
  <c r="GM24" i="1"/>
  <c r="GN24" i="1"/>
  <c r="AB71" i="1"/>
  <c r="AZ22" i="1"/>
  <c r="F82" i="1"/>
  <c r="AZ108" i="1"/>
  <c r="EM18" i="1"/>
  <c r="P127" i="1"/>
  <c r="AK71" i="1"/>
  <c r="GN61" i="1"/>
  <c r="DU71" i="1"/>
  <c r="AG22" i="1"/>
  <c r="T71" i="1"/>
  <c r="GN63" i="1"/>
  <c r="GM63" i="1"/>
  <c r="EL18" i="1"/>
  <c r="P126" i="1"/>
  <c r="GN39" i="1"/>
  <c r="DL22" i="1"/>
  <c r="P92" i="1"/>
  <c r="DL108" i="1"/>
  <c r="AD71" i="1"/>
  <c r="AU18" i="1"/>
  <c r="F127" i="1"/>
  <c r="DZ71" i="1"/>
  <c r="EA22" i="1"/>
  <c r="DN71" i="1"/>
  <c r="GM27" i="1"/>
  <c r="GN27" i="1"/>
  <c r="GM25" i="1"/>
  <c r="GN25" i="1"/>
  <c r="DT71" i="1"/>
  <c r="GN34" i="1"/>
  <c r="GN32" i="1"/>
  <c r="AX22" i="1"/>
  <c r="AX108" i="1"/>
  <c r="F78" i="1"/>
  <c r="DX22" i="1"/>
  <c r="DK71" i="1"/>
  <c r="GM62" i="1"/>
  <c r="GN62" i="1"/>
  <c r="EH18" i="1"/>
  <c r="P117" i="1"/>
  <c r="AC22" i="1"/>
  <c r="CE71" i="1"/>
  <c r="P71" i="1"/>
  <c r="CF71" i="1"/>
  <c r="CH71" i="1"/>
  <c r="GM53" i="1"/>
  <c r="GN53" i="1"/>
  <c r="GM29" i="1"/>
  <c r="GN29" i="1"/>
  <c r="AJ22" i="1"/>
  <c r="W71" i="1"/>
  <c r="G14" i="5" l="1"/>
  <c r="J99" i="5"/>
  <c r="P99" i="5" s="1"/>
  <c r="J77" i="5"/>
  <c r="P77" i="5" s="1"/>
  <c r="J52" i="5"/>
  <c r="P52" i="5" s="1"/>
  <c r="G56" i="7"/>
  <c r="O56" i="7" s="1"/>
  <c r="DI71" i="1"/>
  <c r="P83" i="1" s="1"/>
  <c r="AL71" i="1"/>
  <c r="U100" i="7"/>
  <c r="H102" i="7" s="1"/>
  <c r="G104" i="7" s="1"/>
  <c r="O104" i="7" s="1"/>
  <c r="T121" i="7"/>
  <c r="AA140" i="6"/>
  <c r="T109" i="5"/>
  <c r="T74" i="7"/>
  <c r="J78" i="7" s="1"/>
  <c r="AA86" i="6"/>
  <c r="T62" i="5"/>
  <c r="K59" i="5" s="1"/>
  <c r="V121" i="7"/>
  <c r="AB140" i="6"/>
  <c r="V109" i="5"/>
  <c r="H64" i="7"/>
  <c r="G67" i="7" s="1"/>
  <c r="O67" i="7" s="1"/>
  <c r="G13" i="5"/>
  <c r="T122" i="7"/>
  <c r="J123" i="7" s="1"/>
  <c r="AA142" i="6"/>
  <c r="T110" i="5"/>
  <c r="GM65" i="1"/>
  <c r="GN65" i="1"/>
  <c r="T142" i="6"/>
  <c r="J124" i="7"/>
  <c r="K37" i="5"/>
  <c r="J53" i="7"/>
  <c r="I56" i="7" s="1"/>
  <c r="P56" i="7" s="1"/>
  <c r="H74" i="6"/>
  <c r="T64" i="6"/>
  <c r="H64" i="6"/>
  <c r="GM33" i="1"/>
  <c r="GN33" i="1"/>
  <c r="I92" i="7"/>
  <c r="P92" i="7" s="1"/>
  <c r="J101" i="7"/>
  <c r="I104" i="7" s="1"/>
  <c r="P104" i="7" s="1"/>
  <c r="G117" i="5"/>
  <c r="ED71" i="1"/>
  <c r="V74" i="7"/>
  <c r="J79" i="7" s="1"/>
  <c r="AB86" i="6"/>
  <c r="V62" i="5"/>
  <c r="K60" i="5" s="1"/>
  <c r="H113" i="6"/>
  <c r="T105" i="6"/>
  <c r="H105" i="6"/>
  <c r="GN51" i="1"/>
  <c r="GM51" i="1"/>
  <c r="H48" i="6"/>
  <c r="T38" i="6"/>
  <c r="H38" i="6"/>
  <c r="K36" i="5"/>
  <c r="K84" i="5"/>
  <c r="J89" i="5" s="1"/>
  <c r="P89" i="5" s="1"/>
  <c r="V122" i="7"/>
  <c r="AB142" i="6"/>
  <c r="V110" i="5"/>
  <c r="J54" i="7"/>
  <c r="I67" i="7"/>
  <c r="P67" i="7" s="1"/>
  <c r="H139" i="6"/>
  <c r="T129" i="6"/>
  <c r="H129" i="6"/>
  <c r="J121" i="7"/>
  <c r="T140" i="6"/>
  <c r="H140" i="6"/>
  <c r="K109" i="5"/>
  <c r="J74" i="7"/>
  <c r="H86" i="6"/>
  <c r="T86" i="6"/>
  <c r="K62" i="5"/>
  <c r="AL22" i="1"/>
  <c r="Y71" i="1"/>
  <c r="DZ22" i="1"/>
  <c r="DM71" i="1"/>
  <c r="DT22" i="1"/>
  <c r="DG71" i="1"/>
  <c r="AZ18" i="1"/>
  <c r="F119" i="1"/>
  <c r="FT71" i="1"/>
  <c r="DN22" i="1"/>
  <c r="P94" i="1"/>
  <c r="DN108" i="1"/>
  <c r="AK22" i="1"/>
  <c r="X71" i="1"/>
  <c r="CA71" i="1"/>
  <c r="EC71" i="1"/>
  <c r="ER18" i="1"/>
  <c r="P119" i="1"/>
  <c r="P22" i="1"/>
  <c r="F74" i="1"/>
  <c r="P108" i="1"/>
  <c r="AD22" i="1"/>
  <c r="Q71" i="1"/>
  <c r="GM39" i="1"/>
  <c r="FS71" i="1" s="1"/>
  <c r="DO22" i="1"/>
  <c r="P95" i="1"/>
  <c r="DO108" i="1"/>
  <c r="ED22" i="1"/>
  <c r="DQ71" i="1"/>
  <c r="GN54" i="1"/>
  <c r="CB71" i="1" s="1"/>
  <c r="GM54" i="1"/>
  <c r="R22" i="1"/>
  <c r="F85" i="1"/>
  <c r="R108" i="1"/>
  <c r="U22" i="1"/>
  <c r="F93" i="1"/>
  <c r="U108" i="1"/>
  <c r="DU22" i="1"/>
  <c r="FW71" i="1"/>
  <c r="DH71" i="1"/>
  <c r="FX71" i="1"/>
  <c r="FZ71" i="1"/>
  <c r="AB22" i="1"/>
  <c r="O71" i="1"/>
  <c r="V22" i="1"/>
  <c r="V108" i="1"/>
  <c r="F94" i="1"/>
  <c r="EP18" i="1"/>
  <c r="P115" i="1"/>
  <c r="CE22" i="1"/>
  <c r="AV71" i="1"/>
  <c r="DW22" i="1"/>
  <c r="DJ71" i="1"/>
  <c r="ES22" i="1"/>
  <c r="P91" i="1"/>
  <c r="ES108" i="1"/>
  <c r="S22" i="1"/>
  <c r="S108" i="1"/>
  <c r="F86" i="1"/>
  <c r="J16" i="2" s="1"/>
  <c r="J18" i="2" s="1"/>
  <c r="DI22" i="1"/>
  <c r="DI108" i="1"/>
  <c r="DL18" i="1"/>
  <c r="P129" i="1"/>
  <c r="CH22" i="1"/>
  <c r="AY71" i="1"/>
  <c r="AX18" i="1"/>
  <c r="F115" i="1"/>
  <c r="BA22" i="1"/>
  <c r="F91" i="1"/>
  <c r="H16" i="2" s="1"/>
  <c r="H18" i="2" s="1"/>
  <c r="BA108" i="1"/>
  <c r="W22" i="1"/>
  <c r="F95" i="1"/>
  <c r="W108" i="1"/>
  <c r="CF22" i="1"/>
  <c r="AW71" i="1"/>
  <c r="DK22" i="1"/>
  <c r="P86" i="1"/>
  <c r="DK108" i="1"/>
  <c r="T22" i="1"/>
  <c r="F92" i="1"/>
  <c r="T108" i="1"/>
  <c r="K106" i="5" l="1"/>
  <c r="J66" i="5"/>
  <c r="P66" i="5" s="1"/>
  <c r="K107" i="5"/>
  <c r="Y16" i="2"/>
  <c r="Y18" i="2" s="1"/>
  <c r="H156" i="6"/>
  <c r="H149" i="6"/>
  <c r="G139" i="7"/>
  <c r="G132" i="7"/>
  <c r="I81" i="7"/>
  <c r="P81" i="7" s="1"/>
  <c r="I139" i="7" s="1"/>
  <c r="W16" i="2"/>
  <c r="W18" i="2" s="1"/>
  <c r="I126" i="7"/>
  <c r="P126" i="7" s="1"/>
  <c r="J41" i="5"/>
  <c r="P41" i="5" s="1"/>
  <c r="CB22" i="1"/>
  <c r="AS71" i="1"/>
  <c r="DI18" i="1"/>
  <c r="P120" i="1"/>
  <c r="FZ22" i="1"/>
  <c r="EQ71" i="1"/>
  <c r="AW22" i="1"/>
  <c r="F77" i="1"/>
  <c r="AW108" i="1"/>
  <c r="DJ22" i="1"/>
  <c r="P85" i="1"/>
  <c r="I16" i="5" s="1"/>
  <c r="DJ108" i="1"/>
  <c r="FX22" i="1"/>
  <c r="EO71" i="1"/>
  <c r="U18" i="1"/>
  <c r="F130" i="1"/>
  <c r="DQ22" i="1"/>
  <c r="DQ108" i="1"/>
  <c r="P97" i="1"/>
  <c r="P101" i="1" s="1"/>
  <c r="FS22" i="1"/>
  <c r="EJ71" i="1"/>
  <c r="X22" i="1"/>
  <c r="F96" i="1"/>
  <c r="F100" i="1" s="1"/>
  <c r="X108" i="1"/>
  <c r="DG22" i="1"/>
  <c r="P73" i="1"/>
  <c r="P99" i="1" s="1"/>
  <c r="DG108" i="1"/>
  <c r="Y22" i="1"/>
  <c r="F97" i="1"/>
  <c r="F101" i="1" s="1"/>
  <c r="Y108" i="1"/>
  <c r="DK18" i="1"/>
  <c r="P123" i="1"/>
  <c r="BA18" i="1"/>
  <c r="F128" i="1"/>
  <c r="ES18" i="1"/>
  <c r="P128" i="1"/>
  <c r="O22" i="1"/>
  <c r="F73" i="1"/>
  <c r="F99" i="1" s="1"/>
  <c r="O108" i="1"/>
  <c r="DH22" i="1"/>
  <c r="P74" i="1"/>
  <c r="DH108" i="1"/>
  <c r="P18" i="1"/>
  <c r="F111" i="1"/>
  <c r="FT22" i="1"/>
  <c r="EK71" i="1"/>
  <c r="T18" i="1"/>
  <c r="F129" i="1"/>
  <c r="W18" i="1"/>
  <c r="F132" i="1"/>
  <c r="AV22" i="1"/>
  <c r="F76" i="1"/>
  <c r="AV108" i="1"/>
  <c r="FW22" i="1"/>
  <c r="EN71" i="1"/>
  <c r="DO18" i="1"/>
  <c r="P132" i="1"/>
  <c r="Q22" i="1"/>
  <c r="F83" i="1"/>
  <c r="Q108" i="1"/>
  <c r="EC22" i="1"/>
  <c r="DP71" i="1"/>
  <c r="DN18" i="1"/>
  <c r="P131" i="1"/>
  <c r="DM22" i="1"/>
  <c r="DM108" i="1"/>
  <c r="P93" i="1"/>
  <c r="I15" i="5" s="1"/>
  <c r="G15" i="5" s="1"/>
  <c r="CA22" i="1"/>
  <c r="AR71" i="1"/>
  <c r="AY22" i="1"/>
  <c r="F79" i="1"/>
  <c r="AY108" i="1"/>
  <c r="S18" i="1"/>
  <c r="F123" i="1"/>
  <c r="V18" i="1"/>
  <c r="F131" i="1"/>
  <c r="R18" i="1"/>
  <c r="F122" i="1"/>
  <c r="J111" i="5" l="1"/>
  <c r="P111" i="5" s="1"/>
  <c r="J117" i="5" s="1"/>
  <c r="I132" i="7"/>
  <c r="EN22" i="1"/>
  <c r="P76" i="1"/>
  <c r="EN108" i="1"/>
  <c r="O18" i="1"/>
  <c r="F110" i="1"/>
  <c r="F136" i="1" s="1"/>
  <c r="DG18" i="1"/>
  <c r="P110" i="1"/>
  <c r="P136" i="1" s="1"/>
  <c r="DM18" i="1"/>
  <c r="P130" i="1"/>
  <c r="DP22" i="1"/>
  <c r="P96" i="1"/>
  <c r="P100" i="1" s="1"/>
  <c r="P102" i="1" s="1"/>
  <c r="P104" i="1" s="1"/>
  <c r="DP108" i="1"/>
  <c r="EK22" i="1"/>
  <c r="P88" i="1"/>
  <c r="EK108" i="1"/>
  <c r="DH18" i="1"/>
  <c r="P111" i="1"/>
  <c r="F102" i="1"/>
  <c r="F104" i="1" s="1"/>
  <c r="G135" i="7" s="1"/>
  <c r="Y18" i="1"/>
  <c r="F134" i="1"/>
  <c r="F138" i="1" s="1"/>
  <c r="DQ18" i="1"/>
  <c r="P134" i="1"/>
  <c r="P138" i="1" s="1"/>
  <c r="EO22" i="1"/>
  <c r="P77" i="1"/>
  <c r="EO108" i="1"/>
  <c r="EQ22" i="1"/>
  <c r="EQ108" i="1"/>
  <c r="P79" i="1"/>
  <c r="AS22" i="1"/>
  <c r="AS108" i="1"/>
  <c r="F88" i="1"/>
  <c r="E16" i="2" s="1"/>
  <c r="AR22" i="1"/>
  <c r="F98" i="1"/>
  <c r="AR108" i="1"/>
  <c r="AV18" i="1"/>
  <c r="F113" i="1"/>
  <c r="EJ22" i="1"/>
  <c r="EJ108" i="1"/>
  <c r="P98" i="1"/>
  <c r="AW18" i="1"/>
  <c r="F114" i="1"/>
  <c r="AY18" i="1"/>
  <c r="F116" i="1"/>
  <c r="Q18" i="1"/>
  <c r="F120" i="1"/>
  <c r="X18" i="1"/>
  <c r="F133" i="1"/>
  <c r="F137" i="1" s="1"/>
  <c r="DJ18" i="1"/>
  <c r="P122" i="1"/>
  <c r="I135" i="7" l="1"/>
  <c r="G152" i="6"/>
  <c r="T16" i="2"/>
  <c r="T18" i="2" s="1"/>
  <c r="I14" i="5"/>
  <c r="F139" i="1"/>
  <c r="F141" i="1" s="1"/>
  <c r="G141" i="7" s="1"/>
  <c r="P105" i="1"/>
  <c r="EJ18" i="1"/>
  <c r="P135" i="1"/>
  <c r="AR18" i="1"/>
  <c r="F135" i="1"/>
  <c r="AS18" i="1"/>
  <c r="F125" i="1"/>
  <c r="EK18" i="1"/>
  <c r="P125" i="1"/>
  <c r="EN18" i="1"/>
  <c r="P113" i="1"/>
  <c r="EO18" i="1"/>
  <c r="P114" i="1"/>
  <c r="F105" i="1"/>
  <c r="G136" i="7" s="1"/>
  <c r="X16" i="2"/>
  <c r="X18" i="2" s="1"/>
  <c r="F142" i="1"/>
  <c r="E18" i="2"/>
  <c r="I16" i="2"/>
  <c r="I18" i="2" s="1"/>
  <c r="EQ18" i="1"/>
  <c r="P116" i="1"/>
  <c r="DP18" i="1"/>
  <c r="P133" i="1"/>
  <c r="P137" i="1" s="1"/>
  <c r="P139" i="1" s="1"/>
  <c r="P141" i="1" s="1"/>
  <c r="F143" i="1" l="1"/>
  <c r="G142" i="7"/>
  <c r="P106" i="1"/>
  <c r="I136" i="7"/>
  <c r="G153" i="6"/>
  <c r="J118" i="5"/>
  <c r="I141" i="7"/>
  <c r="G158" i="6"/>
  <c r="F106" i="1"/>
  <c r="G137" i="7" s="1"/>
  <c r="P142" i="1"/>
  <c r="I137" i="7" l="1"/>
  <c r="G154" i="6"/>
  <c r="J119" i="5"/>
  <c r="I13" i="5"/>
  <c r="P143" i="1"/>
  <c r="I142" i="7"/>
  <c r="G159" i="6"/>
  <c r="G143" i="7"/>
  <c r="G29" i="7"/>
  <c r="I143" i="7" l="1"/>
  <c r="G30" i="7"/>
  <c r="G160" i="6"/>
  <c r="F31" i="6"/>
</calcChain>
</file>

<file path=xl/sharedStrings.xml><?xml version="1.0" encoding="utf-8"?>
<sst xmlns="http://schemas.openxmlformats.org/spreadsheetml/2006/main" count="4248" uniqueCount="485">
  <si>
    <t>Smeta.RU  (495) 974-1589</t>
  </si>
  <si>
    <t>_PS_</t>
  </si>
  <si>
    <t>Smeta.RU</t>
  </si>
  <si>
    <t>НИЯУ МИФИ  Доп. раб. место  MCCS-0027251</t>
  </si>
  <si>
    <t>Новый объект_(Копия)_(Копия)</t>
  </si>
  <si>
    <t>Капитальный ремонт окооных проемов в библиотекеучебного корпуса ДИТИ НИЯУ МИФИ_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</si>
  <si>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</si>
  <si>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</si>
  <si>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</si>
  <si>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</si>
  <si>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</si>
  <si>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</si>
  <si>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</si>
  <si>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</si>
  <si>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</si>
  <si>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</si>
  <si>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</si>
  <si>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</si>
  <si>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</si>
  <si>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</si>
  <si>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</si>
  <si>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</si>
  <si>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</si>
  <si>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</si>
  <si>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</si>
  <si>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</si>
  <si>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</si>
  <si>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Деревянные конструкции</t>
  </si>
  <si>
    <t>ФЕР-10</t>
  </si>
  <si>
    <t>2,1</t>
  </si>
  <si>
    <t>11.3.02.03</t>
  </si>
  <si>
    <t>Блоки оконные пластиковые</t>
  </si>
  <si>
    <t>м2</t>
  </si>
  <si>
    <t>2,2</t>
  </si>
  <si>
    <t>11.3.02.01-0021</t>
  </si>
  <si>
    <t>Блок оконный пластиковый  с 6-ю глухими створками остекления, с 2-мя   поворотно-откидными  створками, 5-ти камерным стеклопакетом (42 мм), площадью более 3,5 м2</t>
  </si>
  <si>
    <t>ФССЦ-2001, 11.3.02.01-0021, приказ Минстроя России №1039/пр от 30.12.2016г.</t>
  </si>
  <si>
    <t>3</t>
  </si>
  <si>
    <t>10-01-035-03</t>
  </si>
  <si>
    <t>Установка подоконных досок из ПВХ в каменных стенах толщиной свыше 0,51 м</t>
  </si>
  <si>
    <t>100 м</t>
  </si>
  <si>
    <t>ФЕР-2001, 10-01-035-03, приказ Минстроя России №1039/пр от 30.12.2016г.</t>
  </si>
  <si>
    <t>3,1</t>
  </si>
  <si>
    <t>11.3.03.01-0010</t>
  </si>
  <si>
    <t>Доски подоконные ПВХ, шириной 500 мм</t>
  </si>
  <si>
    <t>м</t>
  </si>
  <si>
    <t>ФССЦ-2001, 11.3.03.01-0010, приказ Минстроя России №1039/пр от 30.12.2016г.</t>
  </si>
  <si>
    <t>4</t>
  </si>
  <si>
    <t>58-20-1</t>
  </si>
  <si>
    <t>Смена обделок из листовой стали (поясков, сандриков, отливов, карнизов) шириной до 0,4 м</t>
  </si>
  <si>
    <t>ФЕР-2001, 58-20-1, приказ Минстроя России №1039/пр от 30.12.2016г.</t>
  </si>
  <si>
    <t>Ремонтно-строительные работы</t>
  </si>
  <si>
    <t>Крыши, кровля</t>
  </si>
  <si>
    <t>рФЕР-58</t>
  </si>
  <si>
    <t>4,1</t>
  </si>
  <si>
    <t>01.7.07.07</t>
  </si>
  <si>
    <t>Строительный мусор</t>
  </si>
  <si>
    <t>т</t>
  </si>
  <si>
    <t>4,2</t>
  </si>
  <si>
    <t>08.3.05.05</t>
  </si>
  <si>
    <t>Сталь листовая оцинкованная</t>
  </si>
  <si>
    <t>4,3</t>
  </si>
  <si>
    <t>08.3.05.05-0081</t>
  </si>
  <si>
    <t>Сталь оцинкованная в рулонах толщиной 0,5 мм, с полимерным покрытием</t>
  </si>
  <si>
    <t>ФССЦ-2001, 08.3.05.05-0081, приказ Минстроя России №1039/пр от 30.12.2016г.</t>
  </si>
  <si>
    <t>4,4</t>
  </si>
  <si>
    <t>08.1.02.03-0021</t>
  </si>
  <si>
    <t>Водоотлив оконный шириной планки 250 мм из оцинкованной стали с полимерным покрытием</t>
  </si>
  <si>
    <t>П.М</t>
  </si>
  <si>
    <t>ФССЦ-2001, 08.1.02.03-0021, приказ Минстроя России №1039/пр от 30.12.2016г.</t>
  </si>
  <si>
    <t>5</t>
  </si>
  <si>
    <t>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</si>
  <si>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</si>
  <si>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ФЕР-2001, 61-2-7, приказ Минстроя России №1039/пр от 30.12.2016г.</t>
  </si>
  <si>
    <t>Штукатрурные работы</t>
  </si>
  <si>
    <t>рФЕР-61</t>
  </si>
  <si>
    <t>5,1</t>
  </si>
  <si>
    <t>6</t>
  </si>
  <si>
    <t>62-16-4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</si>
  <si>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</si>
  <si>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ФЕР-2001, 62-16-4, приказ Минстроя России №1039/пр от 30.12.2016г.</t>
  </si>
  <si>
    <t>Малярные работы</t>
  </si>
  <si>
    <t>рФЕР-62</t>
  </si>
  <si>
    <t>6,1</t>
  </si>
  <si>
    <t>14.3.02.01</t>
  </si>
  <si>
    <t>Краска водоэмульсионная</t>
  </si>
  <si>
    <t>6,2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</si>
  <si>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</si>
  <si>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</si>
  <si>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</si>
  <si>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7</t>
  </si>
  <si>
    <t>61-10-3</t>
  </si>
  <si>
    <t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t>
  </si>
  <si>
    <t>ФЕР-2001, 61-10-3, приказ Минстроя России №1039/пр от 30.12.2016г.</t>
  </si>
  <si>
    <t>7,1</t>
  </si>
  <si>
    <t>8</t>
  </si>
  <si>
    <t>15-04-012-01</t>
  </si>
  <si>
    <t>Окраска фасадов с лесов с подготовкой поверхности перхлорвиниловая</t>
  </si>
  <si>
    <t>ФЕР-2001, 15-04-012-01, приказ Минстроя России №1039/пр от 30.12.2016г.</t>
  </si>
  <si>
    <t>Отделочные работы</t>
  </si>
  <si>
    <t>ФЕР-15</t>
  </si>
  <si>
    <t>8,1</t>
  </si>
  <si>
    <t>14.4.02.07</t>
  </si>
  <si>
    <t>Краски перхлорвиниловые</t>
  </si>
  <si>
    <t>8,2</t>
  </si>
  <si>
    <t>14.4.02.07-0002</t>
  </si>
  <si>
    <t>Краска ХВ-161 перхлорвиниловая фасадная марок А, Б</t>
  </si>
  <si>
    <t>ФССЦ-2001, 14.4.02.07-0002, приказ Минстроя России №1039/пр от 30.12.2016г.</t>
  </si>
  <si>
    <t>9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</si>
  <si>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</si>
  <si>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</si>
  <si>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</si>
  <si>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</si>
  <si>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</si>
  <si>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</si>
  <si>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</si>
  <si>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10</t>
  </si>
  <si>
    <t>т03-21-01-015</t>
  </si>
  <si>
    <t>Перевозка грузов I класса автомобилями-самосвалами грузоподъемностью 10 т работающих вне карьера на расстояние до 15 км</t>
  </si>
  <si>
    <t>ФССЦпг-2001, т03-21-01-015,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</si>
  <si>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</si>
  <si>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</si>
  <si>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</si>
  <si>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</si>
  <si>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</si>
  <si>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</si>
  <si>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</si>
  <si>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</si>
  <si>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</si>
  <si>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</si>
  <si>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</si>
  <si>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</si>
  <si>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</si>
  <si>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</si>
  <si>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</si>
  <si>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</si>
  <si>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</si>
  <si>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</si>
  <si>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</si>
  <si>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</si>
  <si>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</si>
  <si>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</si>
  <si>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</si>
  <si>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</si>
  <si>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</si>
  <si>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</si>
  <si>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</si>
  <si>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</si>
  <si>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</si>
  <si>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</si>
  <si>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</si>
  <si>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</si>
  <si>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</si>
  <si>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</si>
  <si>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</si>
  <si>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</si>
  <si>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</si>
  <si>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</si>
  <si>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</si>
  <si>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</si>
  <si>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</si>
  <si>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</si>
  <si>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</si>
  <si>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</si>
  <si>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</si>
  <si>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</si>
  <si>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</si>
  <si>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</si>
  <si>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</si>
  <si>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</si>
  <si>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</si>
  <si>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</si>
  <si>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</si>
  <si>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</si>
  <si>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</si>
  <si>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</si>
  <si>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Итого прямые затраты</t>
  </si>
  <si>
    <t>Итог2</t>
  </si>
  <si>
    <t>Итог3</t>
  </si>
  <si>
    <t>Итог4</t>
  </si>
  <si>
    <t>Итого</t>
  </si>
  <si>
    <t>Итог5</t>
  </si>
  <si>
    <t>Зимнее удорожание 1,5%</t>
  </si>
  <si>
    <t>Итог6</t>
  </si>
  <si>
    <t>Итог7</t>
  </si>
  <si>
    <t>НДС 18%</t>
  </si>
  <si>
    <t>Итог8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</si>
  <si>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</si>
  <si>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</si>
  <si>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</si>
  <si>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</si>
  <si>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</si>
  <si>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</si>
  <si>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</si>
  <si>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</si>
  <si>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</si>
  <si>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</si>
  <si>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</si>
  <si>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</si>
  <si>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</si>
  <si>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</si>
  <si>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</si>
  <si>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</si>
  <si>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</si>
  <si>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</si>
  <si>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</si>
  <si>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</si>
  <si>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</si>
  <si>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</si>
  <si>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</si>
  <si>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</si>
  <si>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</si>
  <si>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</si>
  <si>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</si>
  <si>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</si>
  <si>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</si>
  <si>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</si>
  <si>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</si>
  <si>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</si>
  <si>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</si>
  <si>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</si>
  <si>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</si>
  <si>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</si>
  <si>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</si>
  <si>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</si>
  <si>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</si>
  <si>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</si>
  <si>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</si>
  <si>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</si>
  <si>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</si>
  <si>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</si>
  <si>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</si>
  <si>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</si>
  <si>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</si>
  <si>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</si>
  <si>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</si>
  <si>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</si>
  <si>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</si>
  <si>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</si>
  <si>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</si>
  <si>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</si>
  <si>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</si>
  <si>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</si>
  <si>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</si>
  <si>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</si>
  <si>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</si>
  <si>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</si>
  <si>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</si>
  <si>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</si>
  <si>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</si>
  <si>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</si>
  <si>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</si>
  <si>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</si>
  <si>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</si>
  <si>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</si>
  <si>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</si>
  <si>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</si>
  <si>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</si>
  <si>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</si>
  <si>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</si>
  <si>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</si>
  <si>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</si>
  <si>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</si>
  <si>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</si>
  <si>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</si>
  <si>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</si>
  <si>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</si>
  <si>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</si>
  <si>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</si>
  <si>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</si>
  <si>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</si>
  <si>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</si>
  <si>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</si>
  <si>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</si>
  <si>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</si>
  <si>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10 м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</si>
  <si>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</si>
  <si>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</si>
  <si>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</si>
  <si>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</si>
  <si>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</si>
  <si>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</si>
  <si>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</si>
  <si>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</si>
  <si>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</si>
  <si>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</si>
  <si>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</si>
  <si>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шт.</t>
  </si>
  <si>
    <t>1-100-30</t>
  </si>
  <si>
    <t>Рабочий среднего разряда 3</t>
  </si>
  <si>
    <t>01.7.15.06-0111</t>
  </si>
  <si>
    <t>ФССЦ-2001, 01.7.15.06-0111, приказ Минстроя России №1039/пр от 30.12.2016г.</t>
  </si>
  <si>
    <t>Гвозди строительные</t>
  </si>
  <si>
    <t>08.3.03.05-0001</t>
  </si>
  <si>
    <t>ФССЦ-2001, 08.3.03.05-0001, приказ Минстроя России №1039/пр от 30.12.2016г.</t>
  </si>
  <si>
    <t>Проволока канатная оцинкованная, диаметром 2,6 мм</t>
  </si>
  <si>
    <t>1-100-33</t>
  </si>
  <si>
    <t>Рабочий среднего разряда 3.3</t>
  </si>
  <si>
    <t>01.7.03.01-0001</t>
  </si>
  <si>
    <t>ФССЦ-2001, 01.7.03.01-0001, приказ Минстроя России №1039/пр от 30.12.2016г.</t>
  </si>
  <si>
    <t>Вода</t>
  </si>
  <si>
    <t>м3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</si>
  <si>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</si>
  <si>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</si>
  <si>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</si>
  <si>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</si>
  <si>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</si>
  <si>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</si>
  <si>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</si>
  <si>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</si>
  <si>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</si>
  <si>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</si>
  <si>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</si>
  <si>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</si>
  <si>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</si>
  <si>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</si>
  <si>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</si>
  <si>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</si>
  <si>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</si>
  <si>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</si>
  <si>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</si>
  <si>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</si>
  <si>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кг</t>
  </si>
  <si>
    <t>14.5.11.01-0001</t>
  </si>
  <si>
    <t>ФССЦ-2001, 14.5.11.01-0001, приказ Минстроя России №1039/пр от 30.12.2016г.</t>
  </si>
  <si>
    <t>Шпатлевка клеевая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</si>
  <si>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</si>
  <si>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</si>
  <si>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</si>
  <si>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1-100-35</t>
  </si>
  <si>
    <t>Рабочий среднего разряда 3.5</t>
  </si>
  <si>
    <t>01.7.20.08-0051</t>
  </si>
  <si>
    <t>ФССЦ-2001, 01.7.20.08-0051, приказ Минстроя России №1039/пр от 30.12.2016г.</t>
  </si>
  <si>
    <t>Ветошь</t>
  </si>
  <si>
    <t>14.4.01.19-0001</t>
  </si>
  <si>
    <t>ФССЦ-2001, 14.4.01.19-0001, приказ Минстроя России №1039/пр от 30.12.2016г.</t>
  </si>
  <si>
    <t>Грунтовка ХС-04 коричневая</t>
  </si>
  <si>
    <t>14.5.09.11-0101</t>
  </si>
  <si>
    <t>ФССЦ-2001, 14.5.09.11-0101, приказ Минстроя России №1039/пр от 30.12.2016г.</t>
  </si>
  <si>
    <t>Уайт-спирит</t>
  </si>
  <si>
    <t>14.5.11.08-0002</t>
  </si>
  <si>
    <t>ФССЦ-2001, 14.5.11.08-0002, приказ Минстроя России №1039/пр от 30.12.2016г.</t>
  </si>
  <si>
    <t>Шпатлевка ХВ-005 серая</t>
  </si>
  <si>
    <t>11.3.03.01</t>
  </si>
  <si>
    <t>Доски подоконные ПВХ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</si>
  <si>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</si>
  <si>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</si>
  <si>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</si>
  <si>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</si>
  <si>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</si>
  <si>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</si>
  <si>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</si>
  <si>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</si>
  <si>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</si>
  <si>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</si>
  <si>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</si>
  <si>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</si>
  <si>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</si>
  <si>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</si>
  <si>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</si>
  <si>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</si>
  <si>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</si>
  <si>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</si>
  <si>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</si>
  <si>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</si>
  <si>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</si>
  <si>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</si>
  <si>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</si>
  <si>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</si>
  <si>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</si>
  <si>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</si>
  <si>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</si>
  <si>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</si>
  <si>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</si>
  <si>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</si>
  <si>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</si>
  <si>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</si>
  <si>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</si>
  <si>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</si>
  <si>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</si>
  <si>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</si>
  <si>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</si>
  <si>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</si>
  <si>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</si>
  <si>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</si>
  <si>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</si>
  <si>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</si>
  <si>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</si>
  <si>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</si>
  <si>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</si>
  <si>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</si>
  <si>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</si>
  <si>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</si>
  <si>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</si>
  <si>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</si>
  <si>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</si>
  <si>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</si>
  <si>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</si>
  <si>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</si>
  <si>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</si>
  <si>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</si>
  <si>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</si>
  <si>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</si>
  <si>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</si>
  <si>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</si>
  <si>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</si>
  <si>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</si>
  <si>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</si>
  <si>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</si>
  <si>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</si>
  <si>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</si>
  <si>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</si>
  <si>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</si>
  <si>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</si>
  <si>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</si>
  <si>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</si>
  <si>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</si>
  <si>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</si>
  <si>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</si>
  <si>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</si>
  <si>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</si>
  <si>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</si>
  <si>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</si>
  <si>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</si>
  <si>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</si>
  <si>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</si>
  <si>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</si>
  <si>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</si>
  <si>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</si>
  <si>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 xml:space="preserve">Форма по ОКУД </t>
  </si>
  <si>
    <t xml:space="preserve">по ОКПО </t>
  </si>
  <si>
    <t>(организация, адрес, телефон, факс)</t>
  </si>
  <si>
    <t>Заказчик (Генподрядчик)</t>
  </si>
  <si>
    <t>(наименование заказчика, структурного подразделения заказчика)</t>
  </si>
  <si>
    <t xml:space="preserve">БЕ </t>
  </si>
  <si>
    <t>Подрядчик (Субподрядчик)</t>
  </si>
  <si>
    <t xml:space="preserve"> (организация, адрес, телефон, факс)</t>
  </si>
  <si>
    <t>(наименование, адрес)</t>
  </si>
  <si>
    <t xml:space="preserve">Код объекта </t>
  </si>
  <si>
    <t xml:space="preserve">                                                        (наименование)</t>
  </si>
  <si>
    <t xml:space="preserve">Вид деятельности по ОКДП </t>
  </si>
  <si>
    <t xml:space="preserve">Договор подряда(контракт)  </t>
  </si>
  <si>
    <t xml:space="preserve">Вид операции </t>
  </si>
  <si>
    <t>п/п</t>
  </si>
  <si>
    <t>Поз. по смете</t>
  </si>
  <si>
    <t>Цена за единицу измерения, руб.</t>
  </si>
  <si>
    <t>Индекс пере-счета</t>
  </si>
  <si>
    <t>Стоимость строительно-монтажных работ на январь 2000 года</t>
  </si>
  <si>
    <t>Стоимость строительно-монтажных работ на январь 2017 года</t>
  </si>
  <si>
    <t>Стоимость в ценах на январь 2000 года</t>
  </si>
  <si>
    <t>Зарплата рабочих</t>
  </si>
  <si>
    <t>ЗТР</t>
  </si>
  <si>
    <t>Сдал</t>
  </si>
  <si>
    <t>(должность)</t>
  </si>
  <si>
    <t>(подпись)</t>
  </si>
  <si>
    <t>(расшифровка подписи)</t>
  </si>
  <si>
    <t>Принял</t>
  </si>
  <si>
    <t>Объем выполненых работ</t>
  </si>
  <si>
    <t xml:space="preserve">подтверждаю. Качество </t>
  </si>
  <si>
    <t>работ ________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</si>
  <si>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</si>
  <si>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</si>
  <si>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</si>
  <si>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</si>
  <si>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</si>
  <si>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</si>
  <si>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</si>
  <si>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</si>
  <si>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</si>
  <si>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</si>
  <si>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</si>
  <si>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</si>
  <si>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</si>
  <si>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</si>
  <si>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</si>
  <si>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</si>
  <si>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</si>
  <si>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</si>
  <si>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 xml:space="preserve">Сумма НДС </t>
  </si>
  <si>
    <t xml:space="preserve">Всего с учетом НДС </t>
  </si>
  <si>
    <t>МП</t>
  </si>
  <si>
    <t>СМЕТА</t>
  </si>
  <si>
    <t>Составлена в ценах IV квартал 2017 года</t>
  </si>
  <si>
    <t>Капитальный ремонт оконных проемов с заменой деревянных оконных блоков на оконные блоки из ПВХ в помещении  библиотеки учебного корпуса Димитровградского инженерно-технологического института - филиала НИЯУ МИФИ (ДИТИ НИЯУ МИФИ) по адресу: Ульяновская область, г. Димитровград, просп. Димитрова, д.4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</si>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</sst>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\-\ #,##0.00"/>
    <numFmt numFmtId="165" formatCode="#,##0.00####;[Red]\-\ #,##0.00####"/>
    <numFmt numFmtId="166" formatCode="dd/mm/yy;@"/>
  </numFmts>
  <fonts count="24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sz val="11"/>
      <name val="Arial Cyr"/>
      <charset val="204"/>
    </font>
    <font>
      <sz val="11"/>
      <color theme="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2" xfId="0" applyFont="1" applyBorder="1"/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3" fillId="0" borderId="0" xfId="0" applyFont="1" applyBorder="1" applyAlignment="1"/>
    <xf numFmtId="0" fontId="13" fillId="0" borderId="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4" xfId="0" applyFont="1" applyBorder="1" applyAlignment="1"/>
    <xf numFmtId="166" fontId="13" fillId="0" borderId="4" xfId="0" applyNumberFormat="1" applyFont="1" applyBorder="1" applyAlignment="1"/>
    <xf numFmtId="0" fontId="13" fillId="0" borderId="3" xfId="0" applyFont="1" applyBorder="1" applyAlignment="1"/>
    <xf numFmtId="0" fontId="20" fillId="0" borderId="0" xfId="0" applyFont="1"/>
    <xf numFmtId="0" fontId="21" fillId="0" borderId="0" xfId="0" applyFont="1"/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vertical="center"/>
    </xf>
    <xf numFmtId="0" fontId="2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/>
    <xf numFmtId="0" fontId="13" fillId="0" borderId="6" xfId="0" applyFont="1" applyBorder="1" applyAlignment="1">
      <alignment horizontal="center"/>
    </xf>
    <xf numFmtId="14" fontId="13" fillId="0" borderId="0" xfId="0" applyNumberFormat="1" applyFont="1"/>
    <xf numFmtId="0" fontId="13" fillId="0" borderId="5" xfId="0" applyFont="1" applyBorder="1" applyAlignment="1">
      <alignment horizontal="center" vertical="center" wrapText="1" shrinkToFit="1"/>
    </xf>
    <xf numFmtId="0" fontId="13" fillId="0" borderId="5" xfId="0" applyFont="1" applyBorder="1" applyAlignment="1">
      <alignment horizontal="center" wrapText="1" shrinkToFit="1"/>
    </xf>
    <xf numFmtId="0" fontId="13" fillId="0" borderId="4" xfId="0" applyFont="1" applyBorder="1" applyAlignment="1">
      <alignment horizontal="center" vertical="center" wrapText="1" shrinkToFit="1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left"/>
    </xf>
    <xf numFmtId="164" fontId="16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4" fillId="0" borderId="0" xfId="0" applyFont="1" applyAlignment="1">
      <alignment horizontal="center" wrapText="1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49" fontId="13" fillId="0" borderId="4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0" fontId="13" fillId="0" borderId="5" xfId="0" applyNumberFormat="1" applyFont="1" applyBorder="1" applyAlignment="1" applyProtection="1">
      <alignment horizontal="center"/>
      <protection hidden="1"/>
    </xf>
    <xf numFmtId="0" fontId="13" fillId="0" borderId="6" xfId="0" applyNumberFormat="1" applyFont="1" applyBorder="1" applyAlignment="1" applyProtection="1">
      <alignment horizontal="center"/>
      <protection hidden="1"/>
    </xf>
    <xf numFmtId="0" fontId="13" fillId="0" borderId="9" xfId="0" applyNumberFormat="1" applyFont="1" applyBorder="1" applyAlignment="1" applyProtection="1">
      <alignment horizontal="center"/>
      <protection hidden="1"/>
    </xf>
    <xf numFmtId="0" fontId="13" fillId="0" borderId="10" xfId="0" applyNumberFormat="1" applyFont="1" applyBorder="1" applyAlignment="1" applyProtection="1">
      <alignment horizontal="center"/>
      <protection hidden="1"/>
    </xf>
    <xf numFmtId="0" fontId="13" fillId="0" borderId="4" xfId="0" applyFont="1" applyBorder="1" applyAlignment="1" applyProtection="1">
      <alignment horizontal="center"/>
      <protection hidden="1"/>
    </xf>
    <xf numFmtId="0" fontId="13" fillId="0" borderId="11" xfId="0" applyFont="1" applyBorder="1" applyAlignment="1" applyProtection="1">
      <alignment horizontal="center"/>
      <protection hidden="1"/>
    </xf>
    <xf numFmtId="14" fontId="13" fillId="0" borderId="4" xfId="0" applyNumberFormat="1" applyFont="1" applyBorder="1" applyAlignment="1">
      <alignment horizontal="center"/>
    </xf>
    <xf numFmtId="14" fontId="13" fillId="0" borderId="11" xfId="0" applyNumberFormat="1" applyFont="1" applyBorder="1" applyAlignment="1">
      <alignment horizontal="center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2" fillId="0" borderId="0" xfId="0" applyFont="1"/>
    <xf numFmtId="0" fontId="13" fillId="0" borderId="2" xfId="0" applyFont="1" applyBorder="1"/>
    <xf numFmtId="0" fontId="13" fillId="0" borderId="5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13" fillId="0" borderId="16" xfId="0" applyFont="1" applyBorder="1" applyAlignment="1">
      <alignment horizontal="right"/>
    </xf>
    <xf numFmtId="0" fontId="13" fillId="0" borderId="4" xfId="0" applyFont="1" applyBorder="1"/>
    <xf numFmtId="0" fontId="13" fillId="0" borderId="11" xfId="0" applyFont="1" applyBorder="1"/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14" fontId="13" fillId="0" borderId="16" xfId="0" applyNumberFormat="1" applyFont="1" applyBorder="1" applyAlignment="1">
      <alignment horizontal="center"/>
    </xf>
    <xf numFmtId="0" fontId="13" fillId="0" borderId="5" xfId="0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right" vertical="center" wrapText="1" shrinkToFit="1"/>
    </xf>
    <xf numFmtId="164" fontId="13" fillId="0" borderId="4" xfId="0" applyNumberFormat="1" applyFont="1" applyBorder="1" applyAlignment="1">
      <alignment horizontal="right" vertical="center" wrapText="1" shrinkToFit="1"/>
    </xf>
    <xf numFmtId="0" fontId="13" fillId="0" borderId="11" xfId="0" applyFont="1" applyBorder="1" applyAlignment="1">
      <alignment horizontal="right" vertical="center" wrapText="1" shrinkToFit="1"/>
    </xf>
    <xf numFmtId="0" fontId="13" fillId="0" borderId="1" xfId="0" applyFont="1" applyBorder="1" applyAlignment="1">
      <alignment horizontal="center"/>
    </xf>
    <xf numFmtId="0" fontId="13" fillId="0" borderId="5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justify" vertical="top" wrapText="1" shrinkToFit="1"/>
    </xf>
    <xf numFmtId="164" fontId="13" fillId="0" borderId="5" xfId="0" applyNumberFormat="1" applyFont="1" applyBorder="1" applyAlignment="1">
      <alignment horizontal="right" wrapText="1" shrinkToFit="1"/>
    </xf>
    <xf numFmtId="0" fontId="13" fillId="0" borderId="1" xfId="0" applyFont="1" applyBorder="1" applyAlignment="1">
      <alignment horizontal="right" wrapText="1" shrinkToFit="1"/>
    </xf>
    <xf numFmtId="0" fontId="13" fillId="0" borderId="6" xfId="0" applyFont="1" applyBorder="1" applyAlignment="1">
      <alignment horizontal="right" wrapText="1" shrinkToFit="1"/>
    </xf>
    <xf numFmtId="0" fontId="13" fillId="0" borderId="4" xfId="0" applyFont="1" applyBorder="1" applyAlignment="1">
      <alignment horizontal="justify" vertical="top" wrapText="1" shrinkToFit="1"/>
    </xf>
    <xf numFmtId="0" fontId="13" fillId="0" borderId="1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right"/>
    </xf>
    <xf numFmtId="164" fontId="13" fillId="0" borderId="5" xfId="0" applyNumberFormat="1" applyFont="1" applyBorder="1" applyAlignment="1">
      <alignment horizontal="right"/>
    </xf>
    <xf numFmtId="164" fontId="13" fillId="0" borderId="5" xfId="0" applyNumberFormat="1" applyFont="1" applyBorder="1" applyAlignment="1">
      <alignment horizontal="right" vertical="center" wrapText="1" shrinkToFit="1"/>
    </xf>
    <xf numFmtId="0" fontId="13" fillId="0" borderId="6" xfId="0" applyFont="1" applyBorder="1" applyAlignment="1">
      <alignment horizontal="right" vertical="center" wrapText="1" shrinkToFit="1"/>
    </xf>
    <xf numFmtId="0" fontId="13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top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19"/>
  <sheetViews>
    <sheetView tabSelected="1" topLeftCell="B1" zoomScaleNormal="100" workbookViewId="0">
      <selection activeCell="G131" sqref="G131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2" t="str">
        <f>Source!B1</f>
        <v>Smeta.RU  (495) 974-1589</v>
      </c>
      <c r="I1" t="s">
        <v>484</v>
      </c>
    </row>
    <row r="2" spans="1:30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3" spans="1:30" ht="14.25" x14ac:dyDescent="0.2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30" ht="15.75" x14ac:dyDescent="0.25">
      <c r="A4" s="19"/>
      <c r="B4" s="96" t="s">
        <v>481</v>
      </c>
      <c r="C4" s="96"/>
      <c r="D4" s="96"/>
      <c r="E4" s="96"/>
      <c r="F4" s="96"/>
      <c r="G4" s="96"/>
      <c r="H4" s="96"/>
      <c r="I4" s="96"/>
      <c r="J4" s="96"/>
      <c r="K4" s="96"/>
      <c r="L4" s="19"/>
    </row>
    <row r="5" spans="1:30" ht="15.75" x14ac:dyDescent="0.25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19"/>
    </row>
    <row r="6" spans="1:30" ht="18" hidden="1" x14ac:dyDescent="0.25">
      <c r="A6" s="19"/>
      <c r="B6" s="97" t="str">
        <f>IF(Source!G20&lt;&gt;"Новая локальная смета", Source!G20, "")</f>
        <v/>
      </c>
      <c r="C6" s="97"/>
      <c r="D6" s="97"/>
      <c r="E6" s="97"/>
      <c r="F6" s="97"/>
      <c r="G6" s="97"/>
      <c r="H6" s="97"/>
      <c r="I6" s="97"/>
      <c r="J6" s="97"/>
      <c r="K6" s="97"/>
      <c r="L6" s="19"/>
    </row>
    <row r="7" spans="1:30" ht="14.25" hidden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30" ht="75" customHeight="1" x14ac:dyDescent="0.25">
      <c r="A8" s="14"/>
      <c r="B8" s="97" t="s">
        <v>483</v>
      </c>
      <c r="C8" s="97"/>
      <c r="D8" s="97"/>
      <c r="E8" s="97"/>
      <c r="F8" s="97"/>
      <c r="G8" s="97"/>
      <c r="H8" s="97"/>
      <c r="I8" s="97"/>
      <c r="J8" s="97"/>
      <c r="K8" s="97"/>
      <c r="L8" s="21"/>
      <c r="AD8" s="58" t="str">
        <f>IF(Source!G12&lt;&gt;"Новый объект", Source!G12, "")</f>
        <v>Капитальный ремонт окооных проемов в библиотекеучебного корпуса ДИТИ НИЯУ МИФИ_</v>
      </c>
    </row>
    <row r="9" spans="1:30" ht="14.25" x14ac:dyDescent="0.2">
      <c r="A9" s="14"/>
      <c r="B9" s="98" t="s">
        <v>345</v>
      </c>
      <c r="C9" s="98"/>
      <c r="D9" s="98"/>
      <c r="E9" s="98"/>
      <c r="F9" s="98"/>
      <c r="G9" s="98"/>
      <c r="H9" s="98"/>
      <c r="I9" s="98"/>
      <c r="J9" s="98"/>
      <c r="K9" s="98"/>
      <c r="L9" s="17"/>
    </row>
    <row r="10" spans="1:30" ht="14.25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30" ht="14.25" x14ac:dyDescent="0.2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1:30" ht="14.25" x14ac:dyDescent="0.2">
      <c r="A12" s="14"/>
      <c r="B12" s="14"/>
      <c r="C12" s="14"/>
      <c r="D12" s="14"/>
      <c r="E12" s="22"/>
      <c r="F12" s="22"/>
      <c r="G12" s="99" t="s">
        <v>346</v>
      </c>
      <c r="H12" s="99"/>
      <c r="I12" s="99" t="s">
        <v>347</v>
      </c>
      <c r="J12" s="99"/>
      <c r="K12" s="14"/>
      <c r="L12" s="14"/>
    </row>
    <row r="13" spans="1:30" ht="15" x14ac:dyDescent="0.25">
      <c r="A13" s="14"/>
      <c r="B13" s="14"/>
      <c r="C13" s="100" t="s">
        <v>348</v>
      </c>
      <c r="D13" s="100"/>
      <c r="E13" s="100"/>
      <c r="F13" s="100"/>
      <c r="G13" s="101">
        <f>SUM(O21:O117)/1000</f>
        <v>239.53148999999999</v>
      </c>
      <c r="H13" s="101"/>
      <c r="I13" s="101">
        <f>(Source!P106/1000)</f>
        <v>1691.9077199999999</v>
      </c>
      <c r="J13" s="101"/>
      <c r="K13" s="102" t="s">
        <v>349</v>
      </c>
      <c r="L13" s="102"/>
    </row>
    <row r="14" spans="1:30" ht="14.25" x14ac:dyDescent="0.2">
      <c r="A14" s="14"/>
      <c r="B14" s="14"/>
      <c r="C14" s="103" t="s">
        <v>350</v>
      </c>
      <c r="D14" s="103"/>
      <c r="E14" s="103"/>
      <c r="F14" s="103"/>
      <c r="G14" s="101">
        <f>SUM(W21:W117)/1000</f>
        <v>239.53148999999999</v>
      </c>
      <c r="H14" s="101"/>
      <c r="I14" s="101">
        <f>(Source!P88)/1000</f>
        <v>1434.8666499999999</v>
      </c>
      <c r="J14" s="101"/>
      <c r="K14" s="102" t="s">
        <v>349</v>
      </c>
      <c r="L14" s="102"/>
    </row>
    <row r="15" spans="1:30" ht="15" x14ac:dyDescent="0.25">
      <c r="A15" s="14"/>
      <c r="B15" s="14"/>
      <c r="C15" s="100" t="s">
        <v>351</v>
      </c>
      <c r="D15" s="100"/>
      <c r="E15" s="100"/>
      <c r="F15" s="100"/>
      <c r="G15" s="101">
        <f>I15</f>
        <v>486.81095399999998</v>
      </c>
      <c r="H15" s="101"/>
      <c r="I15" s="101">
        <f>(Source!P93+Source!P94)</f>
        <v>486.81095399999998</v>
      </c>
      <c r="J15" s="101"/>
      <c r="K15" s="102" t="s">
        <v>352</v>
      </c>
      <c r="L15" s="102"/>
    </row>
    <row r="16" spans="1:30" ht="15" x14ac:dyDescent="0.25">
      <c r="A16" s="14"/>
      <c r="B16" s="14"/>
      <c r="C16" s="100" t="s">
        <v>353</v>
      </c>
      <c r="D16" s="100"/>
      <c r="E16" s="100"/>
      <c r="F16" s="100"/>
      <c r="G16" s="101">
        <f>SUM(R21:R117)/1000</f>
        <v>4.1860100000000005</v>
      </c>
      <c r="H16" s="101"/>
      <c r="I16" s="101">
        <f>((Source!P86 + Source!P85)/1000)</f>
        <v>25.074110000000001</v>
      </c>
      <c r="J16" s="101"/>
      <c r="K16" s="102" t="s">
        <v>349</v>
      </c>
      <c r="L16" s="102"/>
    </row>
    <row r="17" spans="1:26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26" ht="14.25" x14ac:dyDescent="0.2">
      <c r="A18" s="104" t="s">
        <v>482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</row>
    <row r="19" spans="1:26" ht="57" x14ac:dyDescent="0.2">
      <c r="A19" s="23" t="s">
        <v>354</v>
      </c>
      <c r="B19" s="23" t="s">
        <v>355</v>
      </c>
      <c r="C19" s="23" t="s">
        <v>356</v>
      </c>
      <c r="D19" s="23" t="s">
        <v>357</v>
      </c>
      <c r="E19" s="23" t="s">
        <v>358</v>
      </c>
      <c r="F19" s="23" t="s">
        <v>359</v>
      </c>
      <c r="G19" s="23" t="s">
        <v>360</v>
      </c>
      <c r="H19" s="23" t="s">
        <v>361</v>
      </c>
      <c r="I19" s="23" t="s">
        <v>362</v>
      </c>
      <c r="J19" s="23" t="s">
        <v>363</v>
      </c>
      <c r="K19" s="23" t="s">
        <v>364</v>
      </c>
      <c r="L19" s="23" t="s">
        <v>365</v>
      </c>
    </row>
    <row r="20" spans="1:26" ht="14.25" x14ac:dyDescent="0.2">
      <c r="A20" s="24">
        <v>1</v>
      </c>
      <c r="B20" s="24">
        <v>2</v>
      </c>
      <c r="C20" s="24">
        <v>3</v>
      </c>
      <c r="D20" s="24">
        <v>4</v>
      </c>
      <c r="E20" s="24">
        <v>5</v>
      </c>
      <c r="F20" s="24">
        <v>6</v>
      </c>
      <c r="G20" s="24">
        <v>7</v>
      </c>
      <c r="H20" s="24">
        <v>8</v>
      </c>
      <c r="I20" s="24">
        <v>9</v>
      </c>
      <c r="J20" s="24">
        <v>10</v>
      </c>
      <c r="K20" s="24">
        <v>11</v>
      </c>
      <c r="L20" s="25">
        <v>12</v>
      </c>
    </row>
    <row r="21" spans="1:26" ht="42.75" x14ac:dyDescent="0.2">
      <c r="A21" s="53" t="str">
        <f>Source!E25</f>
        <v>1</v>
      </c>
      <c r="B21" s="54" t="str">
        <f>Source!F25</f>
        <v>46-04-012-01</v>
      </c>
      <c r="C21" s="54" t="str">
        <f>Source!G25</f>
        <v>Разборка деревянных заполнений проемов оконных с подоконными досками</v>
      </c>
      <c r="D21" s="35" t="str">
        <f>Source!H25</f>
        <v>100 м2</v>
      </c>
      <c r="E21" s="13">
        <f>Source!I25</f>
        <v>1.0349999999999999</v>
      </c>
      <c r="F21" s="36">
        <f>Source!AL25+Source!AM25+Source!AO25</f>
        <v>1767.24</v>
      </c>
      <c r="G21" s="37"/>
      <c r="H21" s="38"/>
      <c r="I21" s="37" t="str">
        <f>Source!BO25</f>
        <v/>
      </c>
      <c r="J21" s="37"/>
      <c r="K21" s="38"/>
      <c r="L21" s="39"/>
      <c r="S21">
        <f>ROUND((Source!FX25/100)*((ROUND(Source!AF25*Source!I25, 2)+ROUND(Source!AE25*Source!I25, 2))), 2)</f>
        <v>1669.96</v>
      </c>
      <c r="T21">
        <f>Source!X25</f>
        <v>10003.02</v>
      </c>
      <c r="U21">
        <f>ROUND((Source!FY25/100)*((ROUND(Source!AF25*Source!I25, 2)+ROUND(Source!AE25*Source!I25, 2))), 2)</f>
        <v>1003.66</v>
      </c>
      <c r="V21">
        <f>Source!Y25</f>
        <v>6062.44</v>
      </c>
    </row>
    <row r="22" spans="1:26" x14ac:dyDescent="0.2">
      <c r="C22" s="28" t="str">
        <f>"Объем: "&amp;Source!I25&amp;"=103,5/"&amp;"100"</f>
        <v>Объем: 1,035=103,5/100</v>
      </c>
    </row>
    <row r="23" spans="1:26" ht="14.25" x14ac:dyDescent="0.2">
      <c r="A23" s="53"/>
      <c r="B23" s="54"/>
      <c r="C23" s="54" t="s">
        <v>366</v>
      </c>
      <c r="D23" s="35"/>
      <c r="E23" s="13"/>
      <c r="F23" s="36">
        <f>Source!AO25</f>
        <v>1525.29</v>
      </c>
      <c r="G23" s="37" t="str">
        <f>Source!DG25</f>
        <v/>
      </c>
      <c r="H23" s="38">
        <f>ROUND(Source!AF25*Source!I25, 2)</f>
        <v>1578.68</v>
      </c>
      <c r="I23" s="37"/>
      <c r="J23" s="37">
        <f>IF(Source!BA25&lt;&gt; 0, Source!BA25, 1)</f>
        <v>5.99</v>
      </c>
      <c r="K23" s="38">
        <f>Source!S25</f>
        <v>9456.26</v>
      </c>
      <c r="L23" s="39"/>
      <c r="R23">
        <f>H23</f>
        <v>1578.68</v>
      </c>
    </row>
    <row r="24" spans="1:26" ht="14.25" x14ac:dyDescent="0.2">
      <c r="A24" s="53"/>
      <c r="B24" s="54"/>
      <c r="C24" s="54" t="s">
        <v>144</v>
      </c>
      <c r="D24" s="35"/>
      <c r="E24" s="13"/>
      <c r="F24" s="36">
        <f>Source!AM25</f>
        <v>241.95</v>
      </c>
      <c r="G24" s="37" t="str">
        <f>Source!DE25</f>
        <v/>
      </c>
      <c r="H24" s="38">
        <f>ROUND(Source!AD25*Source!I25, 2)</f>
        <v>250.42</v>
      </c>
      <c r="I24" s="37"/>
      <c r="J24" s="37">
        <f>IF(Source!BB25&lt;&gt; 0, Source!BB25, 1)</f>
        <v>5.99</v>
      </c>
      <c r="K24" s="38">
        <f>Source!Q25</f>
        <v>1500.01</v>
      </c>
      <c r="L24" s="39"/>
    </row>
    <row r="25" spans="1:26" ht="14.25" x14ac:dyDescent="0.2">
      <c r="A25" s="53"/>
      <c r="B25" s="54"/>
      <c r="C25" s="54" t="s">
        <v>367</v>
      </c>
      <c r="D25" s="35"/>
      <c r="E25" s="13"/>
      <c r="F25" s="36">
        <f>Source!AN25</f>
        <v>104.49</v>
      </c>
      <c r="G25" s="37" t="str">
        <f>Source!DF25</f>
        <v/>
      </c>
      <c r="H25" s="40">
        <f>ROUND(Source!AE25*Source!I25, 2)</f>
        <v>108.15</v>
      </c>
      <c r="I25" s="37"/>
      <c r="J25" s="37">
        <f>IF(Source!BS25&lt;&gt; 0, Source!BS25, 1)</f>
        <v>5.99</v>
      </c>
      <c r="K25" s="40">
        <f>Source!R25</f>
        <v>647.79999999999995</v>
      </c>
      <c r="L25" s="39"/>
      <c r="R25">
        <f>H25</f>
        <v>108.15</v>
      </c>
    </row>
    <row r="26" spans="1:26" ht="14.25" x14ac:dyDescent="0.2">
      <c r="A26" s="53"/>
      <c r="B26" s="54"/>
      <c r="C26" s="54" t="s">
        <v>368</v>
      </c>
      <c r="D26" s="35" t="s">
        <v>369</v>
      </c>
      <c r="E26" s="13">
        <f>Source!BZ25</f>
        <v>110</v>
      </c>
      <c r="F26" s="106" t="str">
        <f>CONCATENATE(" )", Source!DL25, Source!FT25, "=", Source!FX25)</f>
        <v xml:space="preserve"> )*0,9=99</v>
      </c>
      <c r="G26" s="107"/>
      <c r="H26" s="38">
        <f>SUM(S21:S28)</f>
        <v>1669.96</v>
      </c>
      <c r="I26" s="41"/>
      <c r="J26" s="32">
        <f>Source!AT25</f>
        <v>99</v>
      </c>
      <c r="K26" s="38">
        <f>SUM(T21:T28)</f>
        <v>10003.02</v>
      </c>
      <c r="L26" s="39"/>
    </row>
    <row r="27" spans="1:26" ht="14.25" x14ac:dyDescent="0.2">
      <c r="A27" s="53"/>
      <c r="B27" s="54"/>
      <c r="C27" s="54" t="s">
        <v>370</v>
      </c>
      <c r="D27" s="35" t="s">
        <v>369</v>
      </c>
      <c r="E27" s="13">
        <f>Source!CA25</f>
        <v>70</v>
      </c>
      <c r="F27" s="106" t="str">
        <f>CONCATENATE(" )", Source!DM25, Source!FU25, "=", Source!FY25)</f>
        <v xml:space="preserve"> )*0,85=59,5</v>
      </c>
      <c r="G27" s="107"/>
      <c r="H27" s="38">
        <f>SUM(U21:U28)</f>
        <v>1003.66</v>
      </c>
      <c r="I27" s="41"/>
      <c r="J27" s="32">
        <f>Source!AU25</f>
        <v>60</v>
      </c>
      <c r="K27" s="38">
        <f>SUM(V21:V28)</f>
        <v>6062.44</v>
      </c>
      <c r="L27" s="39"/>
    </row>
    <row r="28" spans="1:26" ht="14.25" x14ac:dyDescent="0.2">
      <c r="A28" s="55"/>
      <c r="B28" s="56"/>
      <c r="C28" s="56" t="s">
        <v>371</v>
      </c>
      <c r="D28" s="42" t="s">
        <v>372</v>
      </c>
      <c r="E28" s="43">
        <f>Source!AQ25</f>
        <v>188.54</v>
      </c>
      <c r="F28" s="44"/>
      <c r="G28" s="45" t="str">
        <f>Source!DI25</f>
        <v/>
      </c>
      <c r="H28" s="46"/>
      <c r="I28" s="45"/>
      <c r="J28" s="45"/>
      <c r="K28" s="46"/>
      <c r="L28" s="47">
        <f>Source!U25</f>
        <v>195.13889999999998</v>
      </c>
    </row>
    <row r="29" spans="1:26" ht="15" x14ac:dyDescent="0.25">
      <c r="G29" s="105">
        <f>H23+H24+H26+H27</f>
        <v>4502.72</v>
      </c>
      <c r="H29" s="105"/>
      <c r="J29" s="105">
        <f>K23+K24+K26+K27</f>
        <v>27021.73</v>
      </c>
      <c r="K29" s="105"/>
      <c r="L29" s="48">
        <f>Source!U25</f>
        <v>195.13889999999998</v>
      </c>
      <c r="O29" s="29">
        <f>G29</f>
        <v>4502.72</v>
      </c>
      <c r="P29" s="29">
        <f>J29</f>
        <v>27021.73</v>
      </c>
      <c r="Q29" s="29">
        <f>L29</f>
        <v>195.13889999999998</v>
      </c>
      <c r="W29">
        <f>IF(Source!BI25&lt;=1,H23+H24+H26+H27, 0)</f>
        <v>4502.72</v>
      </c>
      <c r="X29">
        <f>IF(Source!BI25=2,H23+H24+H26+H27, 0)</f>
        <v>0</v>
      </c>
      <c r="Y29">
        <f>IF(Source!BI25=3,H23+H24+H26+H27, 0)</f>
        <v>0</v>
      </c>
      <c r="Z29">
        <f>IF(Source!BI25=4,H23+H24+H26+H27, 0)</f>
        <v>0</v>
      </c>
    </row>
    <row r="30" spans="1:26" ht="99.75" x14ac:dyDescent="0.2">
      <c r="A30" s="53" t="str">
        <f>Source!E27</f>
        <v>2</v>
      </c>
      <c r="B30" s="54" t="str">
        <f>Source!F27</f>
        <v>10-01-034-08</v>
      </c>
      <c r="C30" s="54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30" s="35" t="str">
        <f>Source!H27</f>
        <v>100 м2</v>
      </c>
      <c r="E30" s="13">
        <f>Source!I27</f>
        <v>1.0349999999999999</v>
      </c>
      <c r="F30" s="36">
        <f>Source!AL27+Source!AM27+Source!AO27</f>
        <v>10107.89</v>
      </c>
      <c r="G30" s="37"/>
      <c r="H30" s="38"/>
      <c r="I30" s="37" t="str">
        <f>Source!BO27</f>
        <v/>
      </c>
      <c r="J30" s="37"/>
      <c r="K30" s="38"/>
      <c r="L30" s="39"/>
      <c r="S30">
        <f>ROUND((Source!FX27/100)*((ROUND(Source!AF27*Source!I27, 2)+ROUND(Source!AE27*Source!I27, 2))), 2)</f>
        <v>1488.25</v>
      </c>
      <c r="T30">
        <f>Source!X27</f>
        <v>8897.86</v>
      </c>
      <c r="U30">
        <f>ROUND((Source!FY27/100)*((ROUND(Source!AF27*Source!I27, 2)+ROUND(Source!AE27*Source!I27, 2))), 2)</f>
        <v>750.43</v>
      </c>
      <c r="V30">
        <f>Source!Y27</f>
        <v>4532.87</v>
      </c>
    </row>
    <row r="31" spans="1:26" x14ac:dyDescent="0.2">
      <c r="C31" s="28" t="str">
        <f>"Объем: "&amp;Source!I27&amp;"=103,5/"&amp;"100"</f>
        <v>Объем: 1,035=103,5/100</v>
      </c>
    </row>
    <row r="32" spans="1:26" ht="14.25" x14ac:dyDescent="0.2">
      <c r="A32" s="53"/>
      <c r="B32" s="54"/>
      <c r="C32" s="54" t="s">
        <v>366</v>
      </c>
      <c r="D32" s="35"/>
      <c r="E32" s="13"/>
      <c r="F32" s="36">
        <f>Source!AO27</f>
        <v>1303.6600000000001</v>
      </c>
      <c r="G32" s="37" t="str">
        <f>Source!DG27</f>
        <v/>
      </c>
      <c r="H32" s="38">
        <f>ROUND(Source!AF27*Source!I27, 2)</f>
        <v>1349.29</v>
      </c>
      <c r="I32" s="37"/>
      <c r="J32" s="37">
        <f>IF(Source!BA27&lt;&gt; 0, Source!BA27, 1)</f>
        <v>5.99</v>
      </c>
      <c r="K32" s="38">
        <f>Source!S27</f>
        <v>8082.24</v>
      </c>
      <c r="L32" s="39"/>
      <c r="R32">
        <f>H32</f>
        <v>1349.29</v>
      </c>
    </row>
    <row r="33" spans="1:26" ht="14.25" x14ac:dyDescent="0.2">
      <c r="A33" s="53"/>
      <c r="B33" s="54"/>
      <c r="C33" s="54" t="s">
        <v>144</v>
      </c>
      <c r="D33" s="35"/>
      <c r="E33" s="13"/>
      <c r="F33" s="36">
        <f>Source!AM27</f>
        <v>255.21</v>
      </c>
      <c r="G33" s="37" t="str">
        <f>Source!DE27</f>
        <v/>
      </c>
      <c r="H33" s="38">
        <f>ROUND(Source!AD27*Source!I27, 2)</f>
        <v>264.14</v>
      </c>
      <c r="I33" s="37"/>
      <c r="J33" s="37">
        <f>IF(Source!BB27&lt;&gt; 0, Source!BB27, 1)</f>
        <v>5.99</v>
      </c>
      <c r="K33" s="38">
        <f>Source!Q27</f>
        <v>1582.21</v>
      </c>
      <c r="L33" s="39"/>
    </row>
    <row r="34" spans="1:26" ht="14.25" x14ac:dyDescent="0.2">
      <c r="A34" s="53"/>
      <c r="B34" s="54"/>
      <c r="C34" s="54" t="s">
        <v>367</v>
      </c>
      <c r="D34" s="35"/>
      <c r="E34" s="13"/>
      <c r="F34" s="36">
        <f>Source!AN27</f>
        <v>50.32</v>
      </c>
      <c r="G34" s="37" t="str">
        <f>Source!DF27</f>
        <v/>
      </c>
      <c r="H34" s="40">
        <f>ROUND(Source!AE27*Source!I27, 2)</f>
        <v>52.08</v>
      </c>
      <c r="I34" s="37"/>
      <c r="J34" s="37">
        <f>IF(Source!BS27&lt;&gt; 0, Source!BS27, 1)</f>
        <v>5.99</v>
      </c>
      <c r="K34" s="40">
        <f>Source!R27</f>
        <v>311.97000000000003</v>
      </c>
      <c r="L34" s="39"/>
      <c r="R34">
        <f>H34</f>
        <v>52.08</v>
      </c>
    </row>
    <row r="35" spans="1:26" ht="14.25" x14ac:dyDescent="0.2">
      <c r="A35" s="53"/>
      <c r="B35" s="54"/>
      <c r="C35" s="54" t="s">
        <v>373</v>
      </c>
      <c r="D35" s="35"/>
      <c r="E35" s="13"/>
      <c r="F35" s="36">
        <f>Source!AL27</f>
        <v>8549.02</v>
      </c>
      <c r="G35" s="37" t="str">
        <f>Source!DD27</f>
        <v/>
      </c>
      <c r="H35" s="38">
        <f>ROUND(Source!AC27*Source!I27, 2)</f>
        <v>8848.24</v>
      </c>
      <c r="I35" s="37"/>
      <c r="J35" s="37">
        <f>IF(Source!BC27&lt;&gt; 0, Source!BC27, 1)</f>
        <v>5.99</v>
      </c>
      <c r="K35" s="38">
        <f>Source!P27</f>
        <v>53000.93</v>
      </c>
      <c r="L35" s="39"/>
    </row>
    <row r="36" spans="1:26" ht="14.25" x14ac:dyDescent="0.2">
      <c r="A36" s="53"/>
      <c r="B36" s="54"/>
      <c r="C36" s="54" t="s">
        <v>368</v>
      </c>
      <c r="D36" s="35" t="s">
        <v>369</v>
      </c>
      <c r="E36" s="13">
        <f>Source!BZ27</f>
        <v>118</v>
      </c>
      <c r="F36" s="106" t="str">
        <f>CONCATENATE(" )", Source!DL27, Source!FT27, "=", Source!FX27)</f>
        <v xml:space="preserve"> )*0,9=106,2</v>
      </c>
      <c r="G36" s="107"/>
      <c r="H36" s="38">
        <f>SUM(S30:S40)</f>
        <v>1488.25</v>
      </c>
      <c r="I36" s="41"/>
      <c r="J36" s="32">
        <f>Source!AT27</f>
        <v>106</v>
      </c>
      <c r="K36" s="38">
        <f>SUM(T30:T40)</f>
        <v>8897.86</v>
      </c>
      <c r="L36" s="39"/>
    </row>
    <row r="37" spans="1:26" ht="14.25" x14ac:dyDescent="0.2">
      <c r="A37" s="53"/>
      <c r="B37" s="54"/>
      <c r="C37" s="54" t="s">
        <v>370</v>
      </c>
      <c r="D37" s="35" t="s">
        <v>369</v>
      </c>
      <c r="E37" s="13">
        <f>Source!CA27</f>
        <v>63</v>
      </c>
      <c r="F37" s="106" t="str">
        <f>CONCATENATE(" )", Source!DM27, Source!FU27, "=", Source!FY27)</f>
        <v xml:space="preserve"> )*0,85=53,55</v>
      </c>
      <c r="G37" s="107"/>
      <c r="H37" s="38">
        <f>SUM(U30:U40)</f>
        <v>750.43</v>
      </c>
      <c r="I37" s="41"/>
      <c r="J37" s="32">
        <f>Source!AU27</f>
        <v>54</v>
      </c>
      <c r="K37" s="38">
        <f>SUM(V30:V40)</f>
        <v>4532.87</v>
      </c>
      <c r="L37" s="39"/>
    </row>
    <row r="38" spans="1:26" ht="14.25" x14ac:dyDescent="0.2">
      <c r="A38" s="53"/>
      <c r="B38" s="54"/>
      <c r="C38" s="54" t="s">
        <v>371</v>
      </c>
      <c r="D38" s="35" t="s">
        <v>372</v>
      </c>
      <c r="E38" s="13">
        <f>Source!AQ27</f>
        <v>149.16</v>
      </c>
      <c r="F38" s="36"/>
      <c r="G38" s="37" t="str">
        <f>Source!DI27</f>
        <v/>
      </c>
      <c r="H38" s="38"/>
      <c r="I38" s="37"/>
      <c r="J38" s="37"/>
      <c r="K38" s="38"/>
      <c r="L38" s="49">
        <f>Source!U27</f>
        <v>154.38059999999999</v>
      </c>
    </row>
    <row r="39" spans="1:26" ht="14.25" x14ac:dyDescent="0.2">
      <c r="A39" s="53" t="str">
        <f>Source!E29</f>
        <v>2,1</v>
      </c>
      <c r="B39" s="54" t="str">
        <f>Source!F29</f>
        <v>11.3.02.03</v>
      </c>
      <c r="C39" s="54" t="str">
        <f>Source!G29</f>
        <v>Блоки оконные пластиковые</v>
      </c>
      <c r="D39" s="35" t="str">
        <f>Source!H29</f>
        <v>м2</v>
      </c>
      <c r="E39" s="13">
        <f>Source!I29</f>
        <v>103.5</v>
      </c>
      <c r="F39" s="36">
        <f>Source!AL29+Source!AM29+Source!AO29</f>
        <v>0</v>
      </c>
      <c r="G39" s="50" t="s">
        <v>6</v>
      </c>
      <c r="H39" s="38">
        <f>ROUND(Source!AC29*Source!I29, 2)+ROUND(Source!AD29*Source!I29, 2)+ROUND(Source!AF29*Source!I29, 2)</f>
        <v>0</v>
      </c>
      <c r="I39" s="37"/>
      <c r="J39" s="37">
        <f>IF(Source!BC29&lt;&gt; 0, Source!BC29, 1)</f>
        <v>5.99</v>
      </c>
      <c r="K39" s="38">
        <f>Source!O29</f>
        <v>0</v>
      </c>
      <c r="L39" s="39"/>
      <c r="S39">
        <f>ROUND((Source!FX29/100)*((ROUND(Source!AF29*Source!I29, 2)+ROUND(Source!AE29*Source!I29, 2))), 2)</f>
        <v>0</v>
      </c>
      <c r="T39">
        <f>Source!X29</f>
        <v>0</v>
      </c>
      <c r="U39">
        <f>ROUND((Source!FY29/100)*((ROUND(Source!AF29*Source!I29, 2)+ROUND(Source!AE29*Source!I29, 2))), 2)</f>
        <v>0</v>
      </c>
      <c r="V39">
        <f>Source!Y29</f>
        <v>0</v>
      </c>
      <c r="W39">
        <f>IF(Source!BI29&lt;=1,H39, 0)</f>
        <v>0</v>
      </c>
      <c r="X39">
        <f>IF(Source!BI29=2,H39, 0)</f>
        <v>0</v>
      </c>
      <c r="Y39">
        <f>IF(Source!BI29=3,H39, 0)</f>
        <v>0</v>
      </c>
      <c r="Z39">
        <f>IF(Source!BI29=4,H39, 0)</f>
        <v>0</v>
      </c>
    </row>
    <row r="40" spans="1:26" ht="71.25" x14ac:dyDescent="0.2">
      <c r="A40" s="55" t="str">
        <f>Source!E31</f>
        <v>2,2</v>
      </c>
      <c r="B40" s="56" t="str">
        <f>Source!F31</f>
        <v>11.3.02.01-0021</v>
      </c>
      <c r="C40" s="56" t="str">
        <f>Source!G31</f>
        <v>Блок оконный пластиковый  с 6-ю глухими створками остекления, с 2-мя   поворотно-откидными  створками, 5-ти камерным стеклопакетом (42 мм), площадью более 3,5 м2</v>
      </c>
      <c r="D40" s="42" t="str">
        <f>Source!H31</f>
        <v>м2</v>
      </c>
      <c r="E40" s="43">
        <f>Source!I31</f>
        <v>103.5</v>
      </c>
      <c r="F40" s="44">
        <f>Source!AL31+Source!AM31+Source!AO31</f>
        <v>2074.38</v>
      </c>
      <c r="G40" s="51" t="s">
        <v>6</v>
      </c>
      <c r="H40" s="46">
        <f>ROUND(Source!AC31*Source!I31, 2)+ROUND(Source!AD31*Source!I31, 2)+ROUND(Source!AF31*Source!I31, 2)</f>
        <v>214698.33</v>
      </c>
      <c r="I40" s="45"/>
      <c r="J40" s="45">
        <f>IF(Source!BC31&lt;&gt; 0, Source!BC31, 1)</f>
        <v>5.99</v>
      </c>
      <c r="K40" s="46">
        <f>Source!O31</f>
        <v>1286043</v>
      </c>
      <c r="L40" s="52"/>
      <c r="S40">
        <f>ROUND((Source!FX31/100)*((ROUND(Source!AF31*Source!I31, 2)+ROUND(Source!AE31*Source!I31, 2))), 2)</f>
        <v>0</v>
      </c>
      <c r="T40">
        <f>Source!X31</f>
        <v>0</v>
      </c>
      <c r="U40">
        <f>ROUND((Source!FY31/100)*((ROUND(Source!AF31*Source!I31, 2)+ROUND(Source!AE31*Source!I31, 2))), 2)</f>
        <v>0</v>
      </c>
      <c r="V40">
        <f>Source!Y31</f>
        <v>0</v>
      </c>
      <c r="W40">
        <f>IF(Source!BI31&lt;=1,H40, 0)</f>
        <v>214698.33</v>
      </c>
      <c r="X40">
        <f>IF(Source!BI31=2,H40, 0)</f>
        <v>0</v>
      </c>
      <c r="Y40">
        <f>IF(Source!BI31=3,H40, 0)</f>
        <v>0</v>
      </c>
      <c r="Z40">
        <f>IF(Source!BI31=4,H40, 0)</f>
        <v>0</v>
      </c>
    </row>
    <row r="41" spans="1:26" ht="15" x14ac:dyDescent="0.25">
      <c r="G41" s="105">
        <f>H32+H33+H35+H36+H37+SUM(H39:H40)</f>
        <v>227398.68</v>
      </c>
      <c r="H41" s="105"/>
      <c r="J41" s="105">
        <f>K32+K33+K35+K36+K37+SUM(K39:K40)</f>
        <v>1362139.11</v>
      </c>
      <c r="K41" s="105"/>
      <c r="L41" s="48">
        <f>Source!U27</f>
        <v>154.38059999999999</v>
      </c>
      <c r="O41" s="29">
        <f>G41</f>
        <v>227398.68</v>
      </c>
      <c r="P41" s="29">
        <f>J41</f>
        <v>1362139.11</v>
      </c>
      <c r="Q41" s="29">
        <f>L41</f>
        <v>154.38059999999999</v>
      </c>
      <c r="W41">
        <f>IF(Source!BI27&lt;=1,H32+H33+H35+H36+H37, 0)</f>
        <v>12700.35</v>
      </c>
      <c r="X41">
        <f>IF(Source!BI27=2,H32+H33+H35+H36+H37, 0)</f>
        <v>0</v>
      </c>
      <c r="Y41">
        <f>IF(Source!BI27=3,H32+H33+H35+H36+H37, 0)</f>
        <v>0</v>
      </c>
      <c r="Z41">
        <f>IF(Source!BI27=4,H32+H33+H35+H36+H37, 0)</f>
        <v>0</v>
      </c>
    </row>
    <row r="42" spans="1:26" ht="42.75" x14ac:dyDescent="0.2">
      <c r="A42" s="53" t="str">
        <f>Source!E33</f>
        <v>3</v>
      </c>
      <c r="B42" s="54" t="str">
        <f>Source!F33</f>
        <v>10-01-035-03</v>
      </c>
      <c r="C42" s="54" t="str">
        <f>Source!G33</f>
        <v>Установка подоконных досок из ПВХ в каменных стенах толщиной свыше 0,51 м</v>
      </c>
      <c r="D42" s="35" t="str">
        <f>Source!H33</f>
        <v>100 м</v>
      </c>
      <c r="E42" s="13">
        <f>Source!I33</f>
        <v>0.20699999999999999</v>
      </c>
      <c r="F42" s="36">
        <f>Source!AL33+Source!AM33+Source!AO33</f>
        <v>6481.1699999999992</v>
      </c>
      <c r="G42" s="37"/>
      <c r="H42" s="38"/>
      <c r="I42" s="37" t="str">
        <f>Source!BO33</f>
        <v/>
      </c>
      <c r="J42" s="37"/>
      <c r="K42" s="38"/>
      <c r="L42" s="39"/>
      <c r="S42">
        <f>ROUND((Source!FX33/100)*((ROUND(Source!AF33*Source!I33, 2)+ROUND(Source!AE33*Source!I33, 2))), 2)</f>
        <v>41.07</v>
      </c>
      <c r="T42">
        <f>Source!X33</f>
        <v>245.52</v>
      </c>
      <c r="U42">
        <f>ROUND((Source!FY33/100)*((ROUND(Source!AF33*Source!I33, 2)+ROUND(Source!AE33*Source!I33, 2))), 2)</f>
        <v>20.71</v>
      </c>
      <c r="V42">
        <f>Source!Y33</f>
        <v>125.07</v>
      </c>
    </row>
    <row r="43" spans="1:26" x14ac:dyDescent="0.2">
      <c r="C43" s="28" t="str">
        <f>"Объем: "&amp;Source!I33&amp;"=20,7/"&amp;"100"</f>
        <v>Объем: 0,207=20,7/100</v>
      </c>
    </row>
    <row r="44" spans="1:26" ht="14.25" x14ac:dyDescent="0.2">
      <c r="A44" s="53"/>
      <c r="B44" s="54"/>
      <c r="C44" s="54" t="s">
        <v>366</v>
      </c>
      <c r="D44" s="35"/>
      <c r="E44" s="13"/>
      <c r="F44" s="36">
        <f>Source!AO33</f>
        <v>182.37</v>
      </c>
      <c r="G44" s="37" t="str">
        <f>Source!DG33</f>
        <v/>
      </c>
      <c r="H44" s="38">
        <f>ROUND(Source!AF33*Source!I33, 2)</f>
        <v>37.75</v>
      </c>
      <c r="I44" s="37"/>
      <c r="J44" s="37">
        <f>IF(Source!BA33&lt;&gt; 0, Source!BA33, 1)</f>
        <v>5.99</v>
      </c>
      <c r="K44" s="38">
        <f>Source!S33</f>
        <v>226.13</v>
      </c>
      <c r="L44" s="39"/>
      <c r="R44">
        <f>H44</f>
        <v>37.75</v>
      </c>
    </row>
    <row r="45" spans="1:26" ht="14.25" x14ac:dyDescent="0.2">
      <c r="A45" s="53"/>
      <c r="B45" s="54"/>
      <c r="C45" s="54" t="s">
        <v>144</v>
      </c>
      <c r="D45" s="35"/>
      <c r="E45" s="13"/>
      <c r="F45" s="36">
        <f>Source!AM33</f>
        <v>21.9</v>
      </c>
      <c r="G45" s="37" t="str">
        <f>Source!DE33</f>
        <v/>
      </c>
      <c r="H45" s="38">
        <f>ROUND(Source!AD33*Source!I33, 2)</f>
        <v>4.53</v>
      </c>
      <c r="I45" s="37"/>
      <c r="J45" s="37">
        <f>IF(Source!BB33&lt;&gt; 0, Source!BB33, 1)</f>
        <v>5.99</v>
      </c>
      <c r="K45" s="38">
        <f>Source!Q33</f>
        <v>27.15</v>
      </c>
      <c r="L45" s="39"/>
    </row>
    <row r="46" spans="1:26" ht="14.25" x14ac:dyDescent="0.2">
      <c r="A46" s="53"/>
      <c r="B46" s="54"/>
      <c r="C46" s="54" t="s">
        <v>367</v>
      </c>
      <c r="D46" s="35"/>
      <c r="E46" s="13"/>
      <c r="F46" s="36">
        <f>Source!AN33</f>
        <v>4.43</v>
      </c>
      <c r="G46" s="37" t="str">
        <f>Source!DF33</f>
        <v/>
      </c>
      <c r="H46" s="40">
        <f>ROUND(Source!AE33*Source!I33, 2)</f>
        <v>0.92</v>
      </c>
      <c r="I46" s="37"/>
      <c r="J46" s="37">
        <f>IF(Source!BS33&lt;&gt; 0, Source!BS33, 1)</f>
        <v>5.99</v>
      </c>
      <c r="K46" s="40">
        <f>Source!R33</f>
        <v>5.49</v>
      </c>
      <c r="L46" s="39"/>
      <c r="R46">
        <f>H46</f>
        <v>0.92</v>
      </c>
    </row>
    <row r="47" spans="1:26" ht="14.25" x14ac:dyDescent="0.2">
      <c r="A47" s="53"/>
      <c r="B47" s="54"/>
      <c r="C47" s="54" t="s">
        <v>373</v>
      </c>
      <c r="D47" s="35"/>
      <c r="E47" s="13"/>
      <c r="F47" s="36">
        <f>Source!AL33</f>
        <v>6276.9</v>
      </c>
      <c r="G47" s="37" t="str">
        <f>Source!DD33</f>
        <v/>
      </c>
      <c r="H47" s="38">
        <f>ROUND(Source!AC33*Source!I33, 2)</f>
        <v>1299.32</v>
      </c>
      <c r="I47" s="37"/>
      <c r="J47" s="37">
        <f>IF(Source!BC33&lt;&gt; 0, Source!BC33, 1)</f>
        <v>5.99</v>
      </c>
      <c r="K47" s="38">
        <f>Source!P33</f>
        <v>7782.92</v>
      </c>
      <c r="L47" s="39"/>
    </row>
    <row r="48" spans="1:26" ht="14.25" x14ac:dyDescent="0.2">
      <c r="A48" s="53"/>
      <c r="B48" s="54"/>
      <c r="C48" s="54" t="s">
        <v>368</v>
      </c>
      <c r="D48" s="35" t="s">
        <v>369</v>
      </c>
      <c r="E48" s="13">
        <f>Source!BZ33</f>
        <v>118</v>
      </c>
      <c r="F48" s="106" t="str">
        <f>CONCATENATE(" )", Source!DL33, Source!FT33, "=", Source!FX33)</f>
        <v xml:space="preserve"> )*0,9=106,2</v>
      </c>
      <c r="G48" s="107"/>
      <c r="H48" s="38">
        <f>SUM(S42:S51)</f>
        <v>41.07</v>
      </c>
      <c r="I48" s="41"/>
      <c r="J48" s="32">
        <f>Source!AT33</f>
        <v>106</v>
      </c>
      <c r="K48" s="38">
        <f>SUM(T42:T51)</f>
        <v>245.52</v>
      </c>
      <c r="L48" s="39"/>
    </row>
    <row r="49" spans="1:26" ht="14.25" x14ac:dyDescent="0.2">
      <c r="A49" s="53"/>
      <c r="B49" s="54"/>
      <c r="C49" s="54" t="s">
        <v>370</v>
      </c>
      <c r="D49" s="35" t="s">
        <v>369</v>
      </c>
      <c r="E49" s="13">
        <f>Source!CA33</f>
        <v>63</v>
      </c>
      <c r="F49" s="106" t="str">
        <f>CONCATENATE(" )", Source!DM33, Source!FU33, "=", Source!FY33)</f>
        <v xml:space="preserve"> )*0,85=53,55</v>
      </c>
      <c r="G49" s="107"/>
      <c r="H49" s="38">
        <f>SUM(U42:U51)</f>
        <v>20.71</v>
      </c>
      <c r="I49" s="41"/>
      <c r="J49" s="32">
        <f>Source!AU33</f>
        <v>54</v>
      </c>
      <c r="K49" s="38">
        <f>SUM(V42:V51)</f>
        <v>125.07</v>
      </c>
      <c r="L49" s="39"/>
    </row>
    <row r="50" spans="1:26" ht="14.25" x14ac:dyDescent="0.2">
      <c r="A50" s="53"/>
      <c r="B50" s="54"/>
      <c r="C50" s="54" t="s">
        <v>371</v>
      </c>
      <c r="D50" s="35" t="s">
        <v>372</v>
      </c>
      <c r="E50" s="13">
        <f>Source!AQ33</f>
        <v>21.38</v>
      </c>
      <c r="F50" s="36"/>
      <c r="G50" s="37" t="str">
        <f>Source!DI33</f>
        <v/>
      </c>
      <c r="H50" s="38"/>
      <c r="I50" s="37"/>
      <c r="J50" s="37"/>
      <c r="K50" s="38"/>
      <c r="L50" s="49">
        <f>Source!U33</f>
        <v>4.4256599999999997</v>
      </c>
    </row>
    <row r="51" spans="1:26" ht="28.5" x14ac:dyDescent="0.2">
      <c r="A51" s="55" t="str">
        <f>Source!E35</f>
        <v>3,1</v>
      </c>
      <c r="B51" s="56" t="str">
        <f>Source!F35</f>
        <v>11.3.03.01-0010</v>
      </c>
      <c r="C51" s="56" t="str">
        <f>Source!G35</f>
        <v>Доски подоконные ПВХ, шириной 500 мм</v>
      </c>
      <c r="D51" s="42" t="str">
        <f>Source!H35</f>
        <v>м</v>
      </c>
      <c r="E51" s="43">
        <f>Source!I35</f>
        <v>20.7</v>
      </c>
      <c r="F51" s="44">
        <f>Source!AL35+Source!AM35+Source!AO35</f>
        <v>64.349999999999994</v>
      </c>
      <c r="G51" s="51" t="s">
        <v>6</v>
      </c>
      <c r="H51" s="46">
        <f>ROUND(Source!AC35*Source!I35, 2)+ROUND(Source!AD35*Source!I35, 2)+ROUND(Source!AF35*Source!I35, 2)</f>
        <v>1332.05</v>
      </c>
      <c r="I51" s="45"/>
      <c r="J51" s="45">
        <f>IF(Source!BC35&lt;&gt; 0, Source!BC35, 1)</f>
        <v>5.99</v>
      </c>
      <c r="K51" s="46">
        <f>Source!O35</f>
        <v>7978.95</v>
      </c>
      <c r="L51" s="52"/>
      <c r="S51">
        <f>ROUND((Source!FX35/100)*((ROUND(Source!AF35*Source!I35, 2)+ROUND(Source!AE35*Source!I35, 2))), 2)</f>
        <v>0</v>
      </c>
      <c r="T51">
        <f>Source!X35</f>
        <v>0</v>
      </c>
      <c r="U51">
        <f>ROUND((Source!FY35/100)*((ROUND(Source!AF35*Source!I35, 2)+ROUND(Source!AE35*Source!I35, 2))), 2)</f>
        <v>0</v>
      </c>
      <c r="V51">
        <f>Source!Y35</f>
        <v>0</v>
      </c>
      <c r="W51">
        <f>IF(Source!BI35&lt;=1,H51, 0)</f>
        <v>1332.05</v>
      </c>
      <c r="X51">
        <f>IF(Source!BI35=2,H51, 0)</f>
        <v>0</v>
      </c>
      <c r="Y51">
        <f>IF(Source!BI35=3,H51, 0)</f>
        <v>0</v>
      </c>
      <c r="Z51">
        <f>IF(Source!BI35=4,H51, 0)</f>
        <v>0</v>
      </c>
    </row>
    <row r="52" spans="1:26" ht="15" x14ac:dyDescent="0.25">
      <c r="G52" s="105">
        <f>H44+H45+H47+H48+H49+SUM(H51:H51)</f>
        <v>2735.43</v>
      </c>
      <c r="H52" s="105"/>
      <c r="J52" s="105">
        <f>K44+K45+K47+K48+K49+SUM(K51:K51)</f>
        <v>16385.739999999998</v>
      </c>
      <c r="K52" s="105"/>
      <c r="L52" s="48">
        <f>Source!U33</f>
        <v>4.4256599999999997</v>
      </c>
      <c r="O52" s="29">
        <f>G52</f>
        <v>2735.43</v>
      </c>
      <c r="P52" s="29">
        <f>J52</f>
        <v>16385.739999999998</v>
      </c>
      <c r="Q52" s="29">
        <f>L52</f>
        <v>4.4256599999999997</v>
      </c>
      <c r="W52">
        <f>IF(Source!BI33&lt;=1,H44+H45+H47+H48+H49, 0)</f>
        <v>1403.3799999999999</v>
      </c>
      <c r="X52">
        <f>IF(Source!BI33=2,H44+H45+H47+H48+H49, 0)</f>
        <v>0</v>
      </c>
      <c r="Y52">
        <f>IF(Source!BI33=3,H44+H45+H47+H48+H49, 0)</f>
        <v>0</v>
      </c>
      <c r="Z52">
        <f>IF(Source!BI33=4,H44+H45+H47+H48+H49, 0)</f>
        <v>0</v>
      </c>
    </row>
    <row r="53" spans="1:26" ht="42.75" x14ac:dyDescent="0.2">
      <c r="A53" s="53" t="str">
        <f>Source!E37</f>
        <v>4</v>
      </c>
      <c r="B53" s="54" t="str">
        <f>Source!F37</f>
        <v>58-20-1</v>
      </c>
      <c r="C53" s="54" t="str">
        <f>Source!G37</f>
        <v>Смена обделок из листовой стали (поясков, сандриков, отливов, карнизов) шириной до 0,4 м</v>
      </c>
      <c r="D53" s="35" t="str">
        <f>Source!H37</f>
        <v>100 м</v>
      </c>
      <c r="E53" s="13">
        <f>Source!I37</f>
        <v>0.20699999999999999</v>
      </c>
      <c r="F53" s="36">
        <f>Source!AL37+Source!AM37+Source!AO37</f>
        <v>454.41</v>
      </c>
      <c r="G53" s="37"/>
      <c r="H53" s="38"/>
      <c r="I53" s="37" t="str">
        <f>Source!BO37</f>
        <v/>
      </c>
      <c r="J53" s="37"/>
      <c r="K53" s="38"/>
      <c r="L53" s="39"/>
      <c r="S53">
        <f>ROUND((Source!FX37/100)*((ROUND(Source!AF37*Source!I37, 2)+ROUND(Source!AE37*Source!I37, 2))), 2)</f>
        <v>60.96</v>
      </c>
      <c r="T53">
        <f>Source!X37</f>
        <v>365.11</v>
      </c>
      <c r="U53">
        <f>ROUND((Source!FY37/100)*((ROUND(Source!AF37*Source!I37, 2)+ROUND(Source!AE37*Source!I37, 2))), 2)</f>
        <v>47.74</v>
      </c>
      <c r="V53">
        <f>Source!Y37</f>
        <v>285.93</v>
      </c>
    </row>
    <row r="54" spans="1:26" x14ac:dyDescent="0.2">
      <c r="C54" s="28" t="str">
        <f>"Объем: "&amp;Source!I37&amp;"=20,7/"&amp;"100"</f>
        <v>Объем: 0,207=20,7/100</v>
      </c>
    </row>
    <row r="55" spans="1:26" ht="14.25" x14ac:dyDescent="0.2">
      <c r="A55" s="53"/>
      <c r="B55" s="54"/>
      <c r="C55" s="54" t="s">
        <v>366</v>
      </c>
      <c r="D55" s="35"/>
      <c r="E55" s="13"/>
      <c r="F55" s="36">
        <f>Source!AO37</f>
        <v>353.23</v>
      </c>
      <c r="G55" s="37" t="str">
        <f>Source!DG37</f>
        <v/>
      </c>
      <c r="H55" s="38">
        <f>ROUND(Source!AF37*Source!I37, 2)</f>
        <v>73.12</v>
      </c>
      <c r="I55" s="37"/>
      <c r="J55" s="37">
        <f>IF(Source!BA37&lt;&gt; 0, Source!BA37, 1)</f>
        <v>5.99</v>
      </c>
      <c r="K55" s="38">
        <f>Source!S37</f>
        <v>437.98</v>
      </c>
      <c r="L55" s="39"/>
      <c r="R55">
        <f>H55</f>
        <v>73.12</v>
      </c>
    </row>
    <row r="56" spans="1:26" ht="14.25" x14ac:dyDescent="0.2">
      <c r="A56" s="53"/>
      <c r="B56" s="54"/>
      <c r="C56" s="54" t="s">
        <v>144</v>
      </c>
      <c r="D56" s="35"/>
      <c r="E56" s="13"/>
      <c r="F56" s="36">
        <f>Source!AM37</f>
        <v>5.13</v>
      </c>
      <c r="G56" s="37" t="str">
        <f>Source!DE37</f>
        <v/>
      </c>
      <c r="H56" s="38">
        <f>ROUND(Source!AD37*Source!I37, 2)</f>
        <v>1.06</v>
      </c>
      <c r="I56" s="37"/>
      <c r="J56" s="37">
        <f>IF(Source!BB37&lt;&gt; 0, Source!BB37, 1)</f>
        <v>5.99</v>
      </c>
      <c r="K56" s="38">
        <f>Source!Q37</f>
        <v>6.36</v>
      </c>
      <c r="L56" s="39"/>
    </row>
    <row r="57" spans="1:26" ht="14.25" x14ac:dyDescent="0.2">
      <c r="A57" s="53"/>
      <c r="B57" s="54"/>
      <c r="C57" s="54" t="s">
        <v>367</v>
      </c>
      <c r="D57" s="35"/>
      <c r="E57" s="13"/>
      <c r="F57" s="36">
        <f>Source!AN37</f>
        <v>1.54</v>
      </c>
      <c r="G57" s="37" t="str">
        <f>Source!DF37</f>
        <v/>
      </c>
      <c r="H57" s="40">
        <f>ROUND(Source!AE37*Source!I37, 2)</f>
        <v>0.32</v>
      </c>
      <c r="I57" s="37"/>
      <c r="J57" s="37">
        <f>IF(Source!BS37&lt;&gt; 0, Source!BS37, 1)</f>
        <v>5.99</v>
      </c>
      <c r="K57" s="40">
        <f>Source!R37</f>
        <v>1.91</v>
      </c>
      <c r="L57" s="39"/>
      <c r="R57">
        <f>H57</f>
        <v>0.32</v>
      </c>
    </row>
    <row r="58" spans="1:26" ht="14.25" x14ac:dyDescent="0.2">
      <c r="A58" s="53"/>
      <c r="B58" s="54"/>
      <c r="C58" s="54" t="s">
        <v>373</v>
      </c>
      <c r="D58" s="35"/>
      <c r="E58" s="13"/>
      <c r="F58" s="36">
        <f>Source!AL37</f>
        <v>96.05</v>
      </c>
      <c r="G58" s="37" t="str">
        <f>Source!DD37</f>
        <v/>
      </c>
      <c r="H58" s="38">
        <f>ROUND(Source!AC37*Source!I37, 2)</f>
        <v>19.88</v>
      </c>
      <c r="I58" s="37"/>
      <c r="J58" s="37">
        <f>IF(Source!BC37&lt;&gt; 0, Source!BC37, 1)</f>
        <v>5.99</v>
      </c>
      <c r="K58" s="38">
        <f>Source!P37</f>
        <v>119.1</v>
      </c>
      <c r="L58" s="39"/>
    </row>
    <row r="59" spans="1:26" ht="14.25" x14ac:dyDescent="0.2">
      <c r="A59" s="53"/>
      <c r="B59" s="54"/>
      <c r="C59" s="54" t="s">
        <v>368</v>
      </c>
      <c r="D59" s="35" t="s">
        <v>369</v>
      </c>
      <c r="E59" s="13">
        <f>Source!BZ37</f>
        <v>83</v>
      </c>
      <c r="F59" s="57"/>
      <c r="G59" s="37"/>
      <c r="H59" s="38">
        <f>SUM(S53:S65)</f>
        <v>60.96</v>
      </c>
      <c r="I59" s="41"/>
      <c r="J59" s="32">
        <f>Source!AT37</f>
        <v>83</v>
      </c>
      <c r="K59" s="38">
        <f>SUM(T53:T65)</f>
        <v>365.11</v>
      </c>
      <c r="L59" s="39"/>
    </row>
    <row r="60" spans="1:26" ht="14.25" x14ac:dyDescent="0.2">
      <c r="A60" s="53"/>
      <c r="B60" s="54"/>
      <c r="C60" s="54" t="s">
        <v>370</v>
      </c>
      <c r="D60" s="35" t="s">
        <v>369</v>
      </c>
      <c r="E60" s="13">
        <f>Source!CA37</f>
        <v>65</v>
      </c>
      <c r="F60" s="57"/>
      <c r="G60" s="37"/>
      <c r="H60" s="38">
        <f>SUM(U53:U65)</f>
        <v>47.74</v>
      </c>
      <c r="I60" s="41"/>
      <c r="J60" s="32">
        <f>Source!AU37</f>
        <v>65</v>
      </c>
      <c r="K60" s="38">
        <f>SUM(V53:V65)</f>
        <v>285.93</v>
      </c>
      <c r="L60" s="39"/>
    </row>
    <row r="61" spans="1:26" ht="14.25" x14ac:dyDescent="0.2">
      <c r="A61" s="53"/>
      <c r="B61" s="54"/>
      <c r="C61" s="54" t="s">
        <v>371</v>
      </c>
      <c r="D61" s="35" t="s">
        <v>372</v>
      </c>
      <c r="E61" s="13">
        <f>Source!AQ37</f>
        <v>41.41</v>
      </c>
      <c r="F61" s="36"/>
      <c r="G61" s="37" t="str">
        <f>Source!DI37</f>
        <v/>
      </c>
      <c r="H61" s="38"/>
      <c r="I61" s="37"/>
      <c r="J61" s="37"/>
      <c r="K61" s="38"/>
      <c r="L61" s="49">
        <f>Source!U37</f>
        <v>8.5718699999999988</v>
      </c>
    </row>
    <row r="62" spans="1:26" ht="14.25" x14ac:dyDescent="0.2">
      <c r="A62" s="53" t="str">
        <f>Source!E39</f>
        <v>4,1</v>
      </c>
      <c r="B62" s="54" t="str">
        <f>Source!F39</f>
        <v>01.7.07.07</v>
      </c>
      <c r="C62" s="54" t="str">
        <f>Source!G39</f>
        <v>Строительный мусор</v>
      </c>
      <c r="D62" s="35" t="str">
        <f>Source!H39</f>
        <v>т</v>
      </c>
      <c r="E62" s="13">
        <f>Source!I39</f>
        <v>4.6367999999999999E-2</v>
      </c>
      <c r="F62" s="36">
        <f>Source!AL39+Source!AM39+Source!AO39</f>
        <v>0</v>
      </c>
      <c r="G62" s="50" t="s">
        <v>6</v>
      </c>
      <c r="H62" s="38">
        <f>ROUND(Source!AC39*Source!I39, 2)+ROUND(Source!AD39*Source!I39, 2)+ROUND(Source!AF39*Source!I39, 2)</f>
        <v>0</v>
      </c>
      <c r="I62" s="37"/>
      <c r="J62" s="37">
        <f>IF(Source!BC39&lt;&gt; 0, Source!BC39, 1)</f>
        <v>5.99</v>
      </c>
      <c r="K62" s="38">
        <f>Source!O39</f>
        <v>0</v>
      </c>
      <c r="L62" s="39"/>
      <c r="S62">
        <f>ROUND((Source!FX39/100)*((ROUND(Source!AF39*Source!I39, 2)+ROUND(Source!AE39*Source!I39, 2))), 2)</f>
        <v>0</v>
      </c>
      <c r="T62">
        <f>Source!X39</f>
        <v>0</v>
      </c>
      <c r="U62">
        <f>ROUND((Source!FY39/100)*((ROUND(Source!AF39*Source!I39, 2)+ROUND(Source!AE39*Source!I39, 2))), 2)</f>
        <v>0</v>
      </c>
      <c r="V62">
        <f>Source!Y39</f>
        <v>0</v>
      </c>
      <c r="W62">
        <f>IF(Source!BI39&lt;=1,H62, 0)</f>
        <v>0</v>
      </c>
      <c r="X62">
        <f>IF(Source!BI39=2,H62, 0)</f>
        <v>0</v>
      </c>
      <c r="Y62">
        <f>IF(Source!BI39=3,H62, 0)</f>
        <v>0</v>
      </c>
      <c r="Z62">
        <f>IF(Source!BI39=4,H62, 0)</f>
        <v>0</v>
      </c>
    </row>
    <row r="63" spans="1:26" ht="14.25" x14ac:dyDescent="0.2">
      <c r="A63" s="53" t="str">
        <f>Source!E41</f>
        <v>4,2</v>
      </c>
      <c r="B63" s="54" t="str">
        <f>Source!F41</f>
        <v>08.3.05.05</v>
      </c>
      <c r="C63" s="54" t="str">
        <f>Source!G41</f>
        <v>Сталь листовая оцинкованная</v>
      </c>
      <c r="D63" s="35" t="str">
        <f>Source!H41</f>
        <v>т</v>
      </c>
      <c r="E63" s="13">
        <f>Source!I41</f>
        <v>3.8087999999999997E-2</v>
      </c>
      <c r="F63" s="36">
        <f>Source!AL41+Source!AM41+Source!AO41</f>
        <v>0</v>
      </c>
      <c r="G63" s="50" t="s">
        <v>6</v>
      </c>
      <c r="H63" s="38">
        <f>ROUND(Source!AC41*Source!I41, 2)+ROUND(Source!AD41*Source!I41, 2)+ROUND(Source!AF41*Source!I41, 2)</f>
        <v>0</v>
      </c>
      <c r="I63" s="37"/>
      <c r="J63" s="37">
        <f>IF(Source!BC41&lt;&gt; 0, Source!BC41, 1)</f>
        <v>5.99</v>
      </c>
      <c r="K63" s="38">
        <f>Source!O41</f>
        <v>0</v>
      </c>
      <c r="L63" s="39"/>
      <c r="S63">
        <f>ROUND((Source!FX41/100)*((ROUND(Source!AF41*Source!I41, 2)+ROUND(Source!AE41*Source!I41, 2))), 2)</f>
        <v>0</v>
      </c>
      <c r="T63">
        <f>Source!X41</f>
        <v>0</v>
      </c>
      <c r="U63">
        <f>ROUND((Source!FY41/100)*((ROUND(Source!AF41*Source!I41, 2)+ROUND(Source!AE41*Source!I41, 2))), 2)</f>
        <v>0</v>
      </c>
      <c r="V63">
        <f>Source!Y41</f>
        <v>0</v>
      </c>
      <c r="W63">
        <f>IF(Source!BI41&lt;=1,H63, 0)</f>
        <v>0</v>
      </c>
      <c r="X63">
        <f>IF(Source!BI41=2,H63, 0)</f>
        <v>0</v>
      </c>
      <c r="Y63">
        <f>IF(Source!BI41=3,H63, 0)</f>
        <v>0</v>
      </c>
      <c r="Z63">
        <f>IF(Source!BI41=4,H63, 0)</f>
        <v>0</v>
      </c>
    </row>
    <row r="64" spans="1:26" ht="42.75" x14ac:dyDescent="0.2">
      <c r="A64" s="53" t="str">
        <f>Source!E43</f>
        <v>4,3</v>
      </c>
      <c r="B64" s="54" t="str">
        <f>Source!F43</f>
        <v>08.3.05.05-0081</v>
      </c>
      <c r="C64" s="54" t="str">
        <f>Source!G43</f>
        <v>Сталь оцинкованная в рулонах толщиной 0,5 мм, с полимерным покрытием</v>
      </c>
      <c r="D64" s="35" t="str">
        <f>Source!H43</f>
        <v>т</v>
      </c>
      <c r="E64" s="13">
        <f>Source!I43</f>
        <v>3.8087999999999997E-2</v>
      </c>
      <c r="F64" s="36">
        <f>Source!AL43+Source!AM43+Source!AO43</f>
        <v>8715.1</v>
      </c>
      <c r="G64" s="50" t="s">
        <v>6</v>
      </c>
      <c r="H64" s="38">
        <f>ROUND(Source!AC43*Source!I43, 2)+ROUND(Source!AD43*Source!I43, 2)+ROUND(Source!AF43*Source!I43, 2)</f>
        <v>331.94</v>
      </c>
      <c r="I64" s="37"/>
      <c r="J64" s="37">
        <f>IF(Source!BC43&lt;&gt; 0, Source!BC43, 1)</f>
        <v>5.99</v>
      </c>
      <c r="K64" s="38">
        <f>Source!O43</f>
        <v>1988.32</v>
      </c>
      <c r="L64" s="39"/>
      <c r="S64">
        <f>ROUND((Source!FX43/100)*((ROUND(Source!AF43*Source!I43, 2)+ROUND(Source!AE43*Source!I43, 2))), 2)</f>
        <v>0</v>
      </c>
      <c r="T64">
        <f>Source!X43</f>
        <v>0</v>
      </c>
      <c r="U64">
        <f>ROUND((Source!FY43/100)*((ROUND(Source!AF43*Source!I43, 2)+ROUND(Source!AE43*Source!I43, 2))), 2)</f>
        <v>0</v>
      </c>
      <c r="V64">
        <f>Source!Y43</f>
        <v>0</v>
      </c>
      <c r="W64">
        <f>IF(Source!BI43&lt;=1,H64, 0)</f>
        <v>331.94</v>
      </c>
      <c r="X64">
        <f>IF(Source!BI43=2,H64, 0)</f>
        <v>0</v>
      </c>
      <c r="Y64">
        <f>IF(Source!BI43=3,H64, 0)</f>
        <v>0</v>
      </c>
      <c r="Z64">
        <f>IF(Source!BI43=4,H64, 0)</f>
        <v>0</v>
      </c>
    </row>
    <row r="65" spans="1:26" ht="42.75" x14ac:dyDescent="0.2">
      <c r="A65" s="55" t="str">
        <f>Source!E45</f>
        <v>4,4</v>
      </c>
      <c r="B65" s="56" t="str">
        <f>Source!F45</f>
        <v>08.1.02.03-0021</v>
      </c>
      <c r="C65" s="56" t="str">
        <f>Source!G45</f>
        <v>Водоотлив оконный шириной планки 250 мм из оцинкованной стали с полимерным покрытием</v>
      </c>
      <c r="D65" s="42" t="str">
        <f>Source!H45</f>
        <v>П.М</v>
      </c>
      <c r="E65" s="43">
        <f>Source!I45</f>
        <v>20.7</v>
      </c>
      <c r="F65" s="44">
        <f>Source!AL45+Source!AM45+Source!AO45</f>
        <v>26.41</v>
      </c>
      <c r="G65" s="51" t="s">
        <v>6</v>
      </c>
      <c r="H65" s="46">
        <f>ROUND(Source!AC45*Source!I45, 2)+ROUND(Source!AD45*Source!I45, 2)+ROUND(Source!AF45*Source!I45, 2)</f>
        <v>546.69000000000005</v>
      </c>
      <c r="I65" s="45"/>
      <c r="J65" s="45">
        <f>IF(Source!BC45&lt;&gt; 0, Source!BC45, 1)</f>
        <v>5.99</v>
      </c>
      <c r="K65" s="46">
        <f>Source!O45</f>
        <v>3274.66</v>
      </c>
      <c r="L65" s="52"/>
      <c r="S65">
        <f>ROUND((Source!FX45/100)*((ROUND(Source!AF45*Source!I45, 2)+ROUND(Source!AE45*Source!I45, 2))), 2)</f>
        <v>0</v>
      </c>
      <c r="T65">
        <f>Source!X45</f>
        <v>0</v>
      </c>
      <c r="U65">
        <f>ROUND((Source!FY45/100)*((ROUND(Source!AF45*Source!I45, 2)+ROUND(Source!AE45*Source!I45, 2))), 2)</f>
        <v>0</v>
      </c>
      <c r="V65">
        <f>Source!Y45</f>
        <v>0</v>
      </c>
      <c r="W65">
        <f>IF(Source!BI45&lt;=1,H65, 0)</f>
        <v>546.69000000000005</v>
      </c>
      <c r="X65">
        <f>IF(Source!BI45=2,H65, 0)</f>
        <v>0</v>
      </c>
      <c r="Y65">
        <f>IF(Source!BI45=3,H65, 0)</f>
        <v>0</v>
      </c>
      <c r="Z65">
        <f>IF(Source!BI45=4,H65, 0)</f>
        <v>0</v>
      </c>
    </row>
    <row r="66" spans="1:26" ht="15" x14ac:dyDescent="0.25">
      <c r="G66" s="105">
        <f>H55+H56+H58+H59+H60+SUM(H62:H65)</f>
        <v>1081.3900000000001</v>
      </c>
      <c r="H66" s="105"/>
      <c r="J66" s="105">
        <f>K55+K56+K58+K59+K60+SUM(K62:K65)</f>
        <v>6477.4599999999991</v>
      </c>
      <c r="K66" s="105"/>
      <c r="L66" s="48">
        <f>Source!U37</f>
        <v>8.5718699999999988</v>
      </c>
      <c r="O66" s="29">
        <f>G66</f>
        <v>1081.3900000000001</v>
      </c>
      <c r="P66" s="29">
        <f>J66</f>
        <v>6477.4599999999991</v>
      </c>
      <c r="Q66" s="29">
        <f>L66</f>
        <v>8.5718699999999988</v>
      </c>
      <c r="W66">
        <f>IF(Source!BI37&lt;=1,H55+H56+H58+H59+H60, 0)</f>
        <v>202.76000000000002</v>
      </c>
      <c r="X66">
        <f>IF(Source!BI37=2,H55+H56+H58+H59+H60, 0)</f>
        <v>0</v>
      </c>
      <c r="Y66">
        <f>IF(Source!BI37=3,H55+H56+H58+H59+H60, 0)</f>
        <v>0</v>
      </c>
      <c r="Z66">
        <f>IF(Source!BI37=4,H55+H56+H58+H59+H60, 0)</f>
        <v>0</v>
      </c>
    </row>
    <row r="67" spans="1:26" ht="71.25" x14ac:dyDescent="0.2">
      <c r="A67" s="53" t="str">
        <f>Source!E47</f>
        <v>5</v>
      </c>
      <c r="B67" s="54" t="str">
        <f>Source!F47</f>
        <v>61-2-7</v>
      </c>
      <c r="C67" s="54" t="str">
        <f>Source!G47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67" s="35" t="str">
        <f>Source!H47</f>
        <v>100 м2</v>
      </c>
      <c r="E67" s="13">
        <f>Source!I47</f>
        <v>0.26279999999999998</v>
      </c>
      <c r="F67" s="36">
        <f>Source!AL47+Source!AM47+Source!AO47</f>
        <v>3184.37</v>
      </c>
      <c r="G67" s="37"/>
      <c r="H67" s="38"/>
      <c r="I67" s="37" t="str">
        <f>Source!BO47</f>
        <v/>
      </c>
      <c r="J67" s="37"/>
      <c r="K67" s="38"/>
      <c r="L67" s="39"/>
      <c r="S67">
        <f>ROUND((Source!FX47/100)*((ROUND(Source!AF47*Source!I47, 2)+ROUND(Source!AE47*Source!I47, 2))), 2)</f>
        <v>421.92</v>
      </c>
      <c r="T67">
        <f>Source!X47</f>
        <v>2527.27</v>
      </c>
      <c r="U67">
        <f>ROUND((Source!FY47/100)*((ROUND(Source!AF47*Source!I47, 2)+ROUND(Source!AE47*Source!I47, 2))), 2)</f>
        <v>267.04000000000002</v>
      </c>
      <c r="V67">
        <f>Source!Y47</f>
        <v>1599.54</v>
      </c>
    </row>
    <row r="68" spans="1:26" x14ac:dyDescent="0.2">
      <c r="C68" s="28" t="str">
        <f>"Объем: "&amp;Source!I47&amp;"=26,28/"&amp;"100"</f>
        <v>Объем: 0,2628=26,28/100</v>
      </c>
    </row>
    <row r="69" spans="1:26" ht="14.25" x14ac:dyDescent="0.2">
      <c r="A69" s="53"/>
      <c r="B69" s="54"/>
      <c r="C69" s="54" t="s">
        <v>366</v>
      </c>
      <c r="D69" s="35"/>
      <c r="E69" s="13"/>
      <c r="F69" s="36">
        <f>Source!AO47</f>
        <v>2023.18</v>
      </c>
      <c r="G69" s="37" t="str">
        <f>Source!DG47</f>
        <v/>
      </c>
      <c r="H69" s="38">
        <f>ROUND(Source!AF47*Source!I47, 2)</f>
        <v>531.69000000000005</v>
      </c>
      <c r="I69" s="37"/>
      <c r="J69" s="37">
        <f>IF(Source!BA47&lt;&gt; 0, Source!BA47, 1)</f>
        <v>5.99</v>
      </c>
      <c r="K69" s="38">
        <f>Source!S47</f>
        <v>3184.83</v>
      </c>
      <c r="L69" s="39"/>
      <c r="R69">
        <f>H69</f>
        <v>531.69000000000005</v>
      </c>
    </row>
    <row r="70" spans="1:26" ht="14.25" x14ac:dyDescent="0.2">
      <c r="A70" s="53"/>
      <c r="B70" s="54"/>
      <c r="C70" s="54" t="s">
        <v>144</v>
      </c>
      <c r="D70" s="35"/>
      <c r="E70" s="13"/>
      <c r="F70" s="36">
        <f>Source!AM47</f>
        <v>20.94</v>
      </c>
      <c r="G70" s="37" t="str">
        <f>Source!DE47</f>
        <v/>
      </c>
      <c r="H70" s="38">
        <f>ROUND(Source!AD47*Source!I47, 2)</f>
        <v>5.5</v>
      </c>
      <c r="I70" s="37"/>
      <c r="J70" s="37">
        <f>IF(Source!BB47&lt;&gt; 0, Source!BB47, 1)</f>
        <v>5.99</v>
      </c>
      <c r="K70" s="38">
        <f>Source!Q47</f>
        <v>32.96</v>
      </c>
      <c r="L70" s="39"/>
    </row>
    <row r="71" spans="1:26" ht="14.25" x14ac:dyDescent="0.2">
      <c r="A71" s="53"/>
      <c r="B71" s="54"/>
      <c r="C71" s="54" t="s">
        <v>367</v>
      </c>
      <c r="D71" s="35"/>
      <c r="E71" s="13"/>
      <c r="F71" s="36">
        <f>Source!AN47</f>
        <v>9.0500000000000007</v>
      </c>
      <c r="G71" s="37" t="str">
        <f>Source!DF47</f>
        <v/>
      </c>
      <c r="H71" s="40">
        <f>ROUND(Source!AE47*Source!I47, 2)</f>
        <v>2.38</v>
      </c>
      <c r="I71" s="37"/>
      <c r="J71" s="37">
        <f>IF(Source!BS47&lt;&gt; 0, Source!BS47, 1)</f>
        <v>5.99</v>
      </c>
      <c r="K71" s="40">
        <f>Source!R47</f>
        <v>14.25</v>
      </c>
      <c r="L71" s="39"/>
      <c r="R71">
        <f>H71</f>
        <v>2.38</v>
      </c>
    </row>
    <row r="72" spans="1:26" ht="14.25" x14ac:dyDescent="0.2">
      <c r="A72" s="53"/>
      <c r="B72" s="54"/>
      <c r="C72" s="54" t="s">
        <v>373</v>
      </c>
      <c r="D72" s="35"/>
      <c r="E72" s="13"/>
      <c r="F72" s="36">
        <f>Source!AL47</f>
        <v>1140.25</v>
      </c>
      <c r="G72" s="37" t="str">
        <f>Source!DD47</f>
        <v/>
      </c>
      <c r="H72" s="38">
        <f>ROUND(Source!AC47*Source!I47, 2)</f>
        <v>299.66000000000003</v>
      </c>
      <c r="I72" s="37"/>
      <c r="J72" s="37">
        <f>IF(Source!BC47&lt;&gt; 0, Source!BC47, 1)</f>
        <v>5.99</v>
      </c>
      <c r="K72" s="38">
        <f>Source!P47</f>
        <v>1794.95</v>
      </c>
      <c r="L72" s="39"/>
    </row>
    <row r="73" spans="1:26" ht="14.25" x14ac:dyDescent="0.2">
      <c r="A73" s="53"/>
      <c r="B73" s="54"/>
      <c r="C73" s="54" t="s">
        <v>368</v>
      </c>
      <c r="D73" s="35" t="s">
        <v>369</v>
      </c>
      <c r="E73" s="13">
        <f>Source!BZ47</f>
        <v>79</v>
      </c>
      <c r="F73" s="57"/>
      <c r="G73" s="37"/>
      <c r="H73" s="38">
        <f>SUM(S67:S76)</f>
        <v>421.92</v>
      </c>
      <c r="I73" s="41"/>
      <c r="J73" s="32">
        <f>Source!AT47</f>
        <v>79</v>
      </c>
      <c r="K73" s="38">
        <f>SUM(T67:T76)</f>
        <v>2527.27</v>
      </c>
      <c r="L73" s="39"/>
    </row>
    <row r="74" spans="1:26" ht="14.25" x14ac:dyDescent="0.2">
      <c r="A74" s="53"/>
      <c r="B74" s="54"/>
      <c r="C74" s="54" t="s">
        <v>370</v>
      </c>
      <c r="D74" s="35" t="s">
        <v>369</v>
      </c>
      <c r="E74" s="13">
        <f>Source!CA47</f>
        <v>50</v>
      </c>
      <c r="F74" s="57"/>
      <c r="G74" s="37"/>
      <c r="H74" s="38">
        <f>SUM(U67:U76)</f>
        <v>267.04000000000002</v>
      </c>
      <c r="I74" s="41"/>
      <c r="J74" s="32">
        <f>Source!AU47</f>
        <v>50</v>
      </c>
      <c r="K74" s="38">
        <f>SUM(V67:V76)</f>
        <v>1599.54</v>
      </c>
      <c r="L74" s="39"/>
    </row>
    <row r="75" spans="1:26" ht="14.25" x14ac:dyDescent="0.2">
      <c r="A75" s="53"/>
      <c r="B75" s="54"/>
      <c r="C75" s="54" t="s">
        <v>371</v>
      </c>
      <c r="D75" s="35" t="s">
        <v>372</v>
      </c>
      <c r="E75" s="13">
        <f>Source!AQ47</f>
        <v>228.35</v>
      </c>
      <c r="F75" s="36"/>
      <c r="G75" s="37" t="str">
        <f>Source!DI47</f>
        <v/>
      </c>
      <c r="H75" s="38"/>
      <c r="I75" s="37"/>
      <c r="J75" s="37"/>
      <c r="K75" s="38"/>
      <c r="L75" s="49">
        <f>Source!U47</f>
        <v>60.010379999999991</v>
      </c>
    </row>
    <row r="76" spans="1:26" ht="14.25" x14ac:dyDescent="0.2">
      <c r="A76" s="55" t="str">
        <f>Source!E49</f>
        <v>5,1</v>
      </c>
      <c r="B76" s="56" t="str">
        <f>Source!F49</f>
        <v>01.7.07.07</v>
      </c>
      <c r="C76" s="56" t="str">
        <f>Source!G49</f>
        <v>Строительный мусор</v>
      </c>
      <c r="D76" s="42" t="str">
        <f>Source!H49</f>
        <v>т</v>
      </c>
      <c r="E76" s="43">
        <f>Source!I49</f>
        <v>0.88826400000000005</v>
      </c>
      <c r="F76" s="44">
        <f>Source!AL49+Source!AM49+Source!AO49</f>
        <v>0</v>
      </c>
      <c r="G76" s="51" t="s">
        <v>6</v>
      </c>
      <c r="H76" s="46">
        <f>ROUND(Source!AC49*Source!I49, 2)+ROUND(Source!AD49*Source!I49, 2)+ROUND(Source!AF49*Source!I49, 2)</f>
        <v>0</v>
      </c>
      <c r="I76" s="45"/>
      <c r="J76" s="45">
        <f>IF(Source!BC49&lt;&gt; 0, Source!BC49, 1)</f>
        <v>5.99</v>
      </c>
      <c r="K76" s="46">
        <f>Source!O49</f>
        <v>0</v>
      </c>
      <c r="L76" s="52"/>
      <c r="S76">
        <f>ROUND((Source!FX49/100)*((ROUND(Source!AF49*Source!I49, 2)+ROUND(Source!AE49*Source!I49, 2))), 2)</f>
        <v>0</v>
      </c>
      <c r="T76">
        <f>Source!X49</f>
        <v>0</v>
      </c>
      <c r="U76">
        <f>ROUND((Source!FY49/100)*((ROUND(Source!AF49*Source!I49, 2)+ROUND(Source!AE49*Source!I49, 2))), 2)</f>
        <v>0</v>
      </c>
      <c r="V76">
        <f>Source!Y49</f>
        <v>0</v>
      </c>
      <c r="W76">
        <f>IF(Source!BI49&lt;=1,H76, 0)</f>
        <v>0</v>
      </c>
      <c r="X76">
        <f>IF(Source!BI49=2,H76, 0)</f>
        <v>0</v>
      </c>
      <c r="Y76">
        <f>IF(Source!BI49=3,H76, 0)</f>
        <v>0</v>
      </c>
      <c r="Z76">
        <f>IF(Source!BI49=4,H76, 0)</f>
        <v>0</v>
      </c>
    </row>
    <row r="77" spans="1:26" ht="15" x14ac:dyDescent="0.25">
      <c r="G77" s="105">
        <f>H69+H70+H72+H73+H74+SUM(H76:H76)</f>
        <v>1525.8100000000002</v>
      </c>
      <c r="H77" s="105"/>
      <c r="J77" s="105">
        <f>K69+K70+K72+K73+K74+SUM(K76:K76)</f>
        <v>9139.5499999999993</v>
      </c>
      <c r="K77" s="105"/>
      <c r="L77" s="48">
        <f>Source!U47</f>
        <v>60.010379999999991</v>
      </c>
      <c r="O77" s="29">
        <f>G77</f>
        <v>1525.8100000000002</v>
      </c>
      <c r="P77" s="29">
        <f>J77</f>
        <v>9139.5499999999993</v>
      </c>
      <c r="Q77" s="29">
        <f>L77</f>
        <v>60.010379999999991</v>
      </c>
      <c r="W77">
        <f>IF(Source!BI47&lt;=1,H69+H70+H72+H73+H74, 0)</f>
        <v>1525.8100000000002</v>
      </c>
      <c r="X77">
        <f>IF(Source!BI47=2,H69+H70+H72+H73+H74, 0)</f>
        <v>0</v>
      </c>
      <c r="Y77">
        <f>IF(Source!BI47=3,H69+H70+H72+H73+H74, 0)</f>
        <v>0</v>
      </c>
      <c r="Z77">
        <f>IF(Source!BI47=4,H69+H70+H72+H73+H74, 0)</f>
        <v>0</v>
      </c>
    </row>
    <row r="78" spans="1:26" ht="71.25" x14ac:dyDescent="0.2">
      <c r="A78" s="53" t="str">
        <f>Source!E51</f>
        <v>6</v>
      </c>
      <c r="B78" s="54" t="str">
        <f>Source!F51</f>
        <v>62-16-4</v>
      </c>
      <c r="C78" s="54" t="str">
        <f>Source!G51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D78" s="35" t="str">
        <f>Source!H51</f>
        <v>100 м2</v>
      </c>
      <c r="E78" s="13">
        <f>Source!I51</f>
        <v>0.26279999999999998</v>
      </c>
      <c r="F78" s="36">
        <f>Source!AL51+Source!AM51+Source!AO51</f>
        <v>759.03</v>
      </c>
      <c r="G78" s="37"/>
      <c r="H78" s="38"/>
      <c r="I78" s="37" t="str">
        <f>Source!BO51</f>
        <v/>
      </c>
      <c r="J78" s="37"/>
      <c r="K78" s="38"/>
      <c r="L78" s="39"/>
      <c r="S78">
        <f>ROUND((Source!FX51/100)*((ROUND(Source!AF51*Source!I51, 2)+ROUND(Source!AE51*Source!I51, 2))), 2)</f>
        <v>54.2</v>
      </c>
      <c r="T78">
        <f>Source!X51</f>
        <v>324.64999999999998</v>
      </c>
      <c r="U78">
        <f>ROUND((Source!FY51/100)*((ROUND(Source!AF51*Source!I51, 2)+ROUND(Source!AE51*Source!I51, 2))), 2)</f>
        <v>33.880000000000003</v>
      </c>
      <c r="V78">
        <f>Source!Y51</f>
        <v>202.91</v>
      </c>
    </row>
    <row r="79" spans="1:26" x14ac:dyDescent="0.2">
      <c r="C79" s="28" t="str">
        <f>"Объем: "&amp;Source!I51&amp;"=26,28/"&amp;"100"</f>
        <v>Объем: 0,2628=26,28/100</v>
      </c>
    </row>
    <row r="80" spans="1:26" ht="14.25" x14ac:dyDescent="0.2">
      <c r="A80" s="53"/>
      <c r="B80" s="54"/>
      <c r="C80" s="54" t="s">
        <v>366</v>
      </c>
      <c r="D80" s="35"/>
      <c r="E80" s="13"/>
      <c r="F80" s="36">
        <f>Source!AO51</f>
        <v>255.74</v>
      </c>
      <c r="G80" s="37" t="str">
        <f>Source!DG51</f>
        <v/>
      </c>
      <c r="H80" s="38">
        <f>ROUND(Source!AF51*Source!I51, 2)</f>
        <v>67.209999999999994</v>
      </c>
      <c r="I80" s="37"/>
      <c r="J80" s="37">
        <f>IF(Source!BA51&lt;&gt; 0, Source!BA51, 1)</f>
        <v>5.99</v>
      </c>
      <c r="K80" s="38">
        <f>Source!S51</f>
        <v>402.58</v>
      </c>
      <c r="L80" s="39"/>
      <c r="R80">
        <f>H80</f>
        <v>67.209999999999994</v>
      </c>
    </row>
    <row r="81" spans="1:26" ht="14.25" x14ac:dyDescent="0.2">
      <c r="A81" s="53"/>
      <c r="B81" s="54"/>
      <c r="C81" s="54" t="s">
        <v>144</v>
      </c>
      <c r="D81" s="35"/>
      <c r="E81" s="13"/>
      <c r="F81" s="36">
        <f>Source!AM51</f>
        <v>7.07</v>
      </c>
      <c r="G81" s="37" t="str">
        <f>Source!DE51</f>
        <v/>
      </c>
      <c r="H81" s="38">
        <f>ROUND(Source!AD51*Source!I51, 2)</f>
        <v>1.86</v>
      </c>
      <c r="I81" s="37"/>
      <c r="J81" s="37">
        <f>IF(Source!BB51&lt;&gt; 0, Source!BB51, 1)</f>
        <v>5.99</v>
      </c>
      <c r="K81" s="38">
        <f>Source!Q51</f>
        <v>11.13</v>
      </c>
      <c r="L81" s="39"/>
    </row>
    <row r="82" spans="1:26" ht="14.25" x14ac:dyDescent="0.2">
      <c r="A82" s="53"/>
      <c r="B82" s="54"/>
      <c r="C82" s="54" t="s">
        <v>367</v>
      </c>
      <c r="D82" s="35"/>
      <c r="E82" s="13"/>
      <c r="F82" s="36">
        <f>Source!AN51</f>
        <v>2.0499999999999998</v>
      </c>
      <c r="G82" s="37" t="str">
        <f>Source!DF51</f>
        <v/>
      </c>
      <c r="H82" s="40">
        <f>ROUND(Source!AE51*Source!I51, 2)</f>
        <v>0.54</v>
      </c>
      <c r="I82" s="37"/>
      <c r="J82" s="37">
        <f>IF(Source!BS51&lt;&gt; 0, Source!BS51, 1)</f>
        <v>5.99</v>
      </c>
      <c r="K82" s="40">
        <f>Source!R51</f>
        <v>3.23</v>
      </c>
      <c r="L82" s="39"/>
      <c r="R82">
        <f>H82</f>
        <v>0.54</v>
      </c>
    </row>
    <row r="83" spans="1:26" ht="14.25" x14ac:dyDescent="0.2">
      <c r="A83" s="53"/>
      <c r="B83" s="54"/>
      <c r="C83" s="54" t="s">
        <v>373</v>
      </c>
      <c r="D83" s="35"/>
      <c r="E83" s="13"/>
      <c r="F83" s="36">
        <f>Source!AL51</f>
        <v>496.22</v>
      </c>
      <c r="G83" s="37" t="str">
        <f>Source!DD51</f>
        <v/>
      </c>
      <c r="H83" s="38">
        <f>ROUND(Source!AC51*Source!I51, 2)</f>
        <v>130.41</v>
      </c>
      <c r="I83" s="37"/>
      <c r="J83" s="37">
        <f>IF(Source!BC51&lt;&gt; 0, Source!BC51, 1)</f>
        <v>5.99</v>
      </c>
      <c r="K83" s="38">
        <f>Source!P51</f>
        <v>781.14</v>
      </c>
      <c r="L83" s="39"/>
    </row>
    <row r="84" spans="1:26" ht="14.25" x14ac:dyDescent="0.2">
      <c r="A84" s="53"/>
      <c r="B84" s="54"/>
      <c r="C84" s="54" t="s">
        <v>368</v>
      </c>
      <c r="D84" s="35" t="s">
        <v>369</v>
      </c>
      <c r="E84" s="13">
        <f>Source!BZ51</f>
        <v>80</v>
      </c>
      <c r="F84" s="57"/>
      <c r="G84" s="37"/>
      <c r="H84" s="38">
        <f>SUM(S78:S88)</f>
        <v>54.2</v>
      </c>
      <c r="I84" s="41"/>
      <c r="J84" s="32">
        <f>Source!AT51</f>
        <v>80</v>
      </c>
      <c r="K84" s="38">
        <f>SUM(T78:T88)</f>
        <v>324.64999999999998</v>
      </c>
      <c r="L84" s="39"/>
    </row>
    <row r="85" spans="1:26" ht="14.25" x14ac:dyDescent="0.2">
      <c r="A85" s="53"/>
      <c r="B85" s="54"/>
      <c r="C85" s="54" t="s">
        <v>370</v>
      </c>
      <c r="D85" s="35" t="s">
        <v>369</v>
      </c>
      <c r="E85" s="13">
        <f>Source!CA51</f>
        <v>50</v>
      </c>
      <c r="F85" s="57"/>
      <c r="G85" s="37"/>
      <c r="H85" s="38">
        <f>SUM(U78:U88)</f>
        <v>33.880000000000003</v>
      </c>
      <c r="I85" s="41"/>
      <c r="J85" s="32">
        <f>Source!AU51</f>
        <v>50</v>
      </c>
      <c r="K85" s="38">
        <f>SUM(V78:V88)</f>
        <v>202.91</v>
      </c>
      <c r="L85" s="39"/>
    </row>
    <row r="86" spans="1:26" ht="14.25" x14ac:dyDescent="0.2">
      <c r="A86" s="53"/>
      <c r="B86" s="54"/>
      <c r="C86" s="54" t="s">
        <v>371</v>
      </c>
      <c r="D86" s="35" t="s">
        <v>372</v>
      </c>
      <c r="E86" s="13">
        <f>Source!AQ51</f>
        <v>29.6</v>
      </c>
      <c r="F86" s="36"/>
      <c r="G86" s="37" t="str">
        <f>Source!DI51</f>
        <v/>
      </c>
      <c r="H86" s="38"/>
      <c r="I86" s="37"/>
      <c r="J86" s="37"/>
      <c r="K86" s="38"/>
      <c r="L86" s="49">
        <f>Source!U51</f>
        <v>7.77888</v>
      </c>
    </row>
    <row r="87" spans="1:26" ht="14.25" x14ac:dyDescent="0.2">
      <c r="A87" s="53" t="str">
        <f>Source!E53</f>
        <v>6,1</v>
      </c>
      <c r="B87" s="54" t="str">
        <f>Source!F53</f>
        <v>14.3.02.01</v>
      </c>
      <c r="C87" s="54" t="str">
        <f>Source!G53</f>
        <v>Краска водоэмульсионная</v>
      </c>
      <c r="D87" s="35" t="str">
        <f>Source!H53</f>
        <v>т</v>
      </c>
      <c r="E87" s="13">
        <f>Source!I53</f>
        <v>1.8659000000000002E-2</v>
      </c>
      <c r="F87" s="36">
        <f>Source!AL53+Source!AM53+Source!AO53</f>
        <v>0</v>
      </c>
      <c r="G87" s="50" t="s">
        <v>6</v>
      </c>
      <c r="H87" s="38">
        <f>ROUND(Source!AC53*Source!I53, 2)+ROUND(Source!AD53*Source!I53, 2)+ROUND(Source!AF53*Source!I53, 2)</f>
        <v>0</v>
      </c>
      <c r="I87" s="37"/>
      <c r="J87" s="37">
        <f>IF(Source!BC53&lt;&gt; 0, Source!BC53, 1)</f>
        <v>5.99</v>
      </c>
      <c r="K87" s="38">
        <f>Source!O53</f>
        <v>0</v>
      </c>
      <c r="L87" s="39"/>
      <c r="S87">
        <f>ROUND((Source!FX53/100)*((ROUND(Source!AF53*Source!I53, 2)+ROUND(Source!AE53*Source!I53, 2))), 2)</f>
        <v>0</v>
      </c>
      <c r="T87">
        <f>Source!X53</f>
        <v>0</v>
      </c>
      <c r="U87">
        <f>ROUND((Source!FY53/100)*((ROUND(Source!AF53*Source!I53, 2)+ROUND(Source!AE53*Source!I53, 2))), 2)</f>
        <v>0</v>
      </c>
      <c r="V87">
        <f>Source!Y53</f>
        <v>0</v>
      </c>
      <c r="W87">
        <f>IF(Source!BI53&lt;=1,H87, 0)</f>
        <v>0</v>
      </c>
      <c r="X87">
        <f>IF(Source!BI53=2,H87, 0)</f>
        <v>0</v>
      </c>
      <c r="Y87">
        <f>IF(Source!BI53=3,H87, 0)</f>
        <v>0</v>
      </c>
      <c r="Z87">
        <f>IF(Source!BI53=4,H87, 0)</f>
        <v>0</v>
      </c>
    </row>
    <row r="88" spans="1:26" ht="28.5" x14ac:dyDescent="0.2">
      <c r="A88" s="55" t="str">
        <f>Source!E55</f>
        <v>6,2</v>
      </c>
      <c r="B88" s="56" t="str">
        <f>Source!F55</f>
        <v>14.3.02.01-0223</v>
      </c>
      <c r="C88" s="56" t="str">
        <f>Source!G55</f>
        <v>Краска водоэмульсионная для внутренних работ ВАК-15</v>
      </c>
      <c r="D88" s="42" t="str">
        <f>Source!H55</f>
        <v>т</v>
      </c>
      <c r="E88" s="43">
        <f>Source!I55</f>
        <v>1.866E-2</v>
      </c>
      <c r="F88" s="44">
        <f>Source!AL55+Source!AM55+Source!AO55</f>
        <v>19973.669999999998</v>
      </c>
      <c r="G88" s="51" t="s">
        <v>6</v>
      </c>
      <c r="H88" s="46">
        <f>ROUND(Source!AC55*Source!I55, 2)+ROUND(Source!AD55*Source!I55, 2)+ROUND(Source!AF55*Source!I55, 2)</f>
        <v>372.71</v>
      </c>
      <c r="I88" s="45"/>
      <c r="J88" s="45">
        <f>IF(Source!BC55&lt;&gt; 0, Source!BC55, 1)</f>
        <v>5.99</v>
      </c>
      <c r="K88" s="46">
        <f>Source!O55</f>
        <v>2232.5300000000002</v>
      </c>
      <c r="L88" s="52"/>
      <c r="S88">
        <f>ROUND((Source!FX55/100)*((ROUND(Source!AF55*Source!I55, 2)+ROUND(Source!AE55*Source!I55, 2))), 2)</f>
        <v>0</v>
      </c>
      <c r="T88">
        <f>Source!X55</f>
        <v>0</v>
      </c>
      <c r="U88">
        <f>ROUND((Source!FY55/100)*((ROUND(Source!AF55*Source!I55, 2)+ROUND(Source!AE55*Source!I55, 2))), 2)</f>
        <v>0</v>
      </c>
      <c r="V88">
        <f>Source!Y55</f>
        <v>0</v>
      </c>
      <c r="W88">
        <f>IF(Source!BI55&lt;=1,H88, 0)</f>
        <v>372.71</v>
      </c>
      <c r="X88">
        <f>IF(Source!BI55=2,H88, 0)</f>
        <v>0</v>
      </c>
      <c r="Y88">
        <f>IF(Source!BI55=3,H88, 0)</f>
        <v>0</v>
      </c>
      <c r="Z88">
        <f>IF(Source!BI55=4,H88, 0)</f>
        <v>0</v>
      </c>
    </row>
    <row r="89" spans="1:26" ht="15" x14ac:dyDescent="0.25">
      <c r="G89" s="105">
        <f>H80+H81+H83+H84+H85+SUM(H87:H88)</f>
        <v>660.27</v>
      </c>
      <c r="H89" s="105"/>
      <c r="J89" s="105">
        <f>K80+K81+K83+K84+K85+SUM(K87:K88)</f>
        <v>3954.9400000000005</v>
      </c>
      <c r="K89" s="105"/>
      <c r="L89" s="48">
        <f>Source!U51</f>
        <v>7.77888</v>
      </c>
      <c r="O89" s="29">
        <f>G89</f>
        <v>660.27</v>
      </c>
      <c r="P89" s="29">
        <f>J89</f>
        <v>3954.9400000000005</v>
      </c>
      <c r="Q89" s="29">
        <f>L89</f>
        <v>7.77888</v>
      </c>
      <c r="W89">
        <f>IF(Source!BI51&lt;=1,H80+H81+H83+H84+H85, 0)</f>
        <v>287.56</v>
      </c>
      <c r="X89">
        <f>IF(Source!BI51=2,H80+H81+H83+H84+H85, 0)</f>
        <v>0</v>
      </c>
      <c r="Y89">
        <f>IF(Source!BI51=3,H80+H81+H83+H84+H85, 0)</f>
        <v>0</v>
      </c>
      <c r="Z89">
        <f>IF(Source!BI51=4,H80+H81+H83+H84+H85, 0)</f>
        <v>0</v>
      </c>
    </row>
    <row r="90" spans="1:26" ht="71.25" x14ac:dyDescent="0.2">
      <c r="A90" s="53" t="str">
        <f>Source!E57</f>
        <v>7</v>
      </c>
      <c r="B90" s="54" t="str">
        <f>Source!F57</f>
        <v>61-10-3</v>
      </c>
      <c r="C90" s="54" t="str">
        <f>Source!G57</f>
        <v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v>
      </c>
      <c r="D90" s="35" t="str">
        <f>Source!H57</f>
        <v>100 м2</v>
      </c>
      <c r="E90" s="13">
        <f>Source!I57</f>
        <v>0.216</v>
      </c>
      <c r="F90" s="36">
        <f>Source!AL57+Source!AM57+Source!AO57</f>
        <v>2786.77</v>
      </c>
      <c r="G90" s="37"/>
      <c r="H90" s="38"/>
      <c r="I90" s="37" t="str">
        <f>Source!BO57</f>
        <v/>
      </c>
      <c r="J90" s="37"/>
      <c r="K90" s="38"/>
      <c r="L90" s="39"/>
      <c r="S90">
        <f>ROUND((Source!FX57/100)*((ROUND(Source!AF57*Source!I57, 2)+ROUND(Source!AE57*Source!I57, 2))), 2)</f>
        <v>280.76</v>
      </c>
      <c r="T90">
        <f>Source!X57</f>
        <v>1681.73</v>
      </c>
      <c r="U90">
        <f>ROUND((Source!FY57/100)*((ROUND(Source!AF57*Source!I57, 2)+ROUND(Source!AE57*Source!I57, 2))), 2)</f>
        <v>177.7</v>
      </c>
      <c r="V90">
        <f>Source!Y57</f>
        <v>1064.3900000000001</v>
      </c>
    </row>
    <row r="91" spans="1:26" x14ac:dyDescent="0.2">
      <c r="C91" s="28" t="str">
        <f>"Объем: "&amp;Source!I57&amp;"=21,6/"&amp;"100"</f>
        <v>Объем: 0,216=21,6/100</v>
      </c>
    </row>
    <row r="92" spans="1:26" ht="14.25" x14ac:dyDescent="0.2">
      <c r="A92" s="53"/>
      <c r="B92" s="54"/>
      <c r="C92" s="54" t="s">
        <v>366</v>
      </c>
      <c r="D92" s="35"/>
      <c r="E92" s="13"/>
      <c r="F92" s="36">
        <f>Source!AO57</f>
        <v>1645.31</v>
      </c>
      <c r="G92" s="37" t="str">
        <f>Source!DG57</f>
        <v/>
      </c>
      <c r="H92" s="38">
        <f>ROUND(Source!AF57*Source!I57, 2)</f>
        <v>355.39</v>
      </c>
      <c r="I92" s="37"/>
      <c r="J92" s="37">
        <f>IF(Source!BA57&lt;&gt; 0, Source!BA57, 1)</f>
        <v>5.99</v>
      </c>
      <c r="K92" s="38">
        <f>Source!S57</f>
        <v>2128.77</v>
      </c>
      <c r="L92" s="39"/>
      <c r="R92">
        <f>H92</f>
        <v>355.39</v>
      </c>
    </row>
    <row r="93" spans="1:26" ht="14.25" x14ac:dyDescent="0.2">
      <c r="A93" s="53"/>
      <c r="B93" s="54"/>
      <c r="C93" s="54" t="s">
        <v>144</v>
      </c>
      <c r="D93" s="35"/>
      <c r="E93" s="13"/>
      <c r="F93" s="36">
        <f>Source!AM57</f>
        <v>1.21</v>
      </c>
      <c r="G93" s="37" t="str">
        <f>Source!DE57</f>
        <v/>
      </c>
      <c r="H93" s="38">
        <f>ROUND(Source!AD57*Source!I57, 2)</f>
        <v>0.26</v>
      </c>
      <c r="I93" s="37"/>
      <c r="J93" s="37">
        <f>IF(Source!BB57&lt;&gt; 0, Source!BB57, 1)</f>
        <v>5.99</v>
      </c>
      <c r="K93" s="38">
        <f>Source!Q57</f>
        <v>1.57</v>
      </c>
      <c r="L93" s="39"/>
    </row>
    <row r="94" spans="1:26" ht="14.25" x14ac:dyDescent="0.2">
      <c r="A94" s="53"/>
      <c r="B94" s="54"/>
      <c r="C94" s="54" t="s">
        <v>373</v>
      </c>
      <c r="D94" s="35"/>
      <c r="E94" s="13"/>
      <c r="F94" s="36">
        <f>Source!AL57</f>
        <v>1140.25</v>
      </c>
      <c r="G94" s="37" t="str">
        <f>Source!DD57</f>
        <v/>
      </c>
      <c r="H94" s="38">
        <f>ROUND(Source!AC57*Source!I57, 2)</f>
        <v>246.29</v>
      </c>
      <c r="I94" s="37"/>
      <c r="J94" s="37">
        <f>IF(Source!BC57&lt;&gt; 0, Source!BC57, 1)</f>
        <v>5.99</v>
      </c>
      <c r="K94" s="38">
        <f>Source!P57</f>
        <v>1475.3</v>
      </c>
      <c r="L94" s="39"/>
    </row>
    <row r="95" spans="1:26" ht="14.25" x14ac:dyDescent="0.2">
      <c r="A95" s="53"/>
      <c r="B95" s="54"/>
      <c r="C95" s="54" t="s">
        <v>368</v>
      </c>
      <c r="D95" s="35" t="s">
        <v>369</v>
      </c>
      <c r="E95" s="13">
        <f>Source!BZ57</f>
        <v>79</v>
      </c>
      <c r="F95" s="57"/>
      <c r="G95" s="37"/>
      <c r="H95" s="38">
        <f>SUM(S90:S98)</f>
        <v>280.76</v>
      </c>
      <c r="I95" s="41"/>
      <c r="J95" s="32">
        <f>Source!AT57</f>
        <v>79</v>
      </c>
      <c r="K95" s="38">
        <f>SUM(T90:T98)</f>
        <v>1681.73</v>
      </c>
      <c r="L95" s="39"/>
    </row>
    <row r="96" spans="1:26" ht="14.25" x14ac:dyDescent="0.2">
      <c r="A96" s="53"/>
      <c r="B96" s="54"/>
      <c r="C96" s="54" t="s">
        <v>370</v>
      </c>
      <c r="D96" s="35" t="s">
        <v>369</v>
      </c>
      <c r="E96" s="13">
        <f>Source!CA57</f>
        <v>50</v>
      </c>
      <c r="F96" s="57"/>
      <c r="G96" s="37"/>
      <c r="H96" s="38">
        <f>SUM(U90:U98)</f>
        <v>177.7</v>
      </c>
      <c r="I96" s="41"/>
      <c r="J96" s="32">
        <f>Source!AU57</f>
        <v>50</v>
      </c>
      <c r="K96" s="38">
        <f>SUM(V90:V98)</f>
        <v>1064.3900000000001</v>
      </c>
      <c r="L96" s="39"/>
    </row>
    <row r="97" spans="1:26" ht="14.25" x14ac:dyDescent="0.2">
      <c r="A97" s="53"/>
      <c r="B97" s="54"/>
      <c r="C97" s="54" t="s">
        <v>371</v>
      </c>
      <c r="D97" s="35" t="s">
        <v>372</v>
      </c>
      <c r="E97" s="13">
        <f>Source!AQ57</f>
        <v>188.25</v>
      </c>
      <c r="F97" s="36"/>
      <c r="G97" s="37" t="str">
        <f>Source!DI57</f>
        <v/>
      </c>
      <c r="H97" s="38"/>
      <c r="I97" s="37"/>
      <c r="J97" s="37"/>
      <c r="K97" s="38"/>
      <c r="L97" s="49">
        <f>Source!U57</f>
        <v>40.661999999999999</v>
      </c>
    </row>
    <row r="98" spans="1:26" ht="14.25" x14ac:dyDescent="0.2">
      <c r="A98" s="55" t="str">
        <f>Source!E59</f>
        <v>7,1</v>
      </c>
      <c r="B98" s="56" t="str">
        <f>Source!F59</f>
        <v>01.7.07.07</v>
      </c>
      <c r="C98" s="56" t="str">
        <f>Source!G59</f>
        <v>Строительный мусор</v>
      </c>
      <c r="D98" s="42" t="str">
        <f>Source!H59</f>
        <v>т</v>
      </c>
      <c r="E98" s="43">
        <f>Source!I59</f>
        <v>1.0454399999999999</v>
      </c>
      <c r="F98" s="44">
        <f>Source!AL59+Source!AM59+Source!AO59</f>
        <v>0</v>
      </c>
      <c r="G98" s="51" t="s">
        <v>6</v>
      </c>
      <c r="H98" s="46">
        <f>ROUND(Source!AC59*Source!I59, 2)+ROUND(Source!AD59*Source!I59, 2)+ROUND(Source!AF59*Source!I59, 2)</f>
        <v>0</v>
      </c>
      <c r="I98" s="45"/>
      <c r="J98" s="45">
        <f>IF(Source!BC59&lt;&gt; 0, Source!BC59, 1)</f>
        <v>5.99</v>
      </c>
      <c r="K98" s="46">
        <f>Source!O59</f>
        <v>0</v>
      </c>
      <c r="L98" s="52"/>
      <c r="S98">
        <f>ROUND((Source!FX59/100)*((ROUND(Source!AF59*Source!I59, 2)+ROUND(Source!AE59*Source!I59, 2))), 2)</f>
        <v>0</v>
      </c>
      <c r="T98">
        <f>Source!X59</f>
        <v>0</v>
      </c>
      <c r="U98">
        <f>ROUND((Source!FY59/100)*((ROUND(Source!AF59*Source!I59, 2)+ROUND(Source!AE59*Source!I59, 2))), 2)</f>
        <v>0</v>
      </c>
      <c r="V98">
        <f>Source!Y59</f>
        <v>0</v>
      </c>
      <c r="W98">
        <f>IF(Source!BI59&lt;=1,H98, 0)</f>
        <v>0</v>
      </c>
      <c r="X98">
        <f>IF(Source!BI59=2,H98, 0)</f>
        <v>0</v>
      </c>
      <c r="Y98">
        <f>IF(Source!BI59=3,H98, 0)</f>
        <v>0</v>
      </c>
      <c r="Z98">
        <f>IF(Source!BI59=4,H98, 0)</f>
        <v>0</v>
      </c>
    </row>
    <row r="99" spans="1:26" ht="15" x14ac:dyDescent="0.25">
      <c r="G99" s="105">
        <f>H92+H93+H94+H95+H96+SUM(H98:H98)</f>
        <v>1060.3999999999999</v>
      </c>
      <c r="H99" s="105"/>
      <c r="J99" s="105">
        <f>K92+K93+K94+K95+K96+SUM(K98:K98)</f>
        <v>6351.7600000000011</v>
      </c>
      <c r="K99" s="105"/>
      <c r="L99" s="48">
        <f>Source!U57</f>
        <v>40.661999999999999</v>
      </c>
      <c r="O99" s="29">
        <f>G99</f>
        <v>1060.3999999999999</v>
      </c>
      <c r="P99" s="29">
        <f>J99</f>
        <v>6351.7600000000011</v>
      </c>
      <c r="Q99" s="29">
        <f>L99</f>
        <v>40.661999999999999</v>
      </c>
      <c r="W99">
        <f>IF(Source!BI57&lt;=1,H92+H93+H94+H95+H96, 0)</f>
        <v>1060.3999999999999</v>
      </c>
      <c r="X99">
        <f>IF(Source!BI57=2,H92+H93+H94+H95+H96, 0)</f>
        <v>0</v>
      </c>
      <c r="Y99">
        <f>IF(Source!BI57=3,H92+H93+H94+H95+H96, 0)</f>
        <v>0</v>
      </c>
      <c r="Z99">
        <f>IF(Source!BI57=4,H92+H93+H94+H95+H96, 0)</f>
        <v>0</v>
      </c>
    </row>
    <row r="100" spans="1:26" ht="42.75" x14ac:dyDescent="0.2">
      <c r="A100" s="53" t="str">
        <f>Source!E61</f>
        <v>8</v>
      </c>
      <c r="B100" s="54" t="str">
        <f>Source!F61</f>
        <v>15-04-012-01</v>
      </c>
      <c r="C100" s="54" t="str">
        <f>Source!G61</f>
        <v>Окраска фасадов с лесов с подготовкой поверхности перхлорвиниловая</v>
      </c>
      <c r="D100" s="35" t="str">
        <f>Source!H61</f>
        <v>100 м2</v>
      </c>
      <c r="E100" s="13">
        <f>Source!I61</f>
        <v>0.216</v>
      </c>
      <c r="F100" s="36">
        <f>Source!AL61+Source!AM61+Source!AO61</f>
        <v>685.42</v>
      </c>
      <c r="G100" s="37"/>
      <c r="H100" s="38"/>
      <c r="I100" s="37" t="str">
        <f>Source!BO61</f>
        <v/>
      </c>
      <c r="J100" s="37"/>
      <c r="K100" s="38"/>
      <c r="L100" s="39"/>
      <c r="S100">
        <f>ROUND((Source!FX61/100)*((ROUND(Source!AF61*Source!I61, 2)+ROUND(Source!AE61*Source!I61, 2))), 2)</f>
        <v>26.92</v>
      </c>
      <c r="T100">
        <f>Source!X61</f>
        <v>162.13999999999999</v>
      </c>
      <c r="U100">
        <f>ROUND((Source!FY61/100)*((ROUND(Source!AF61*Source!I61, 2)+ROUND(Source!AE61*Source!I61, 2))), 2)</f>
        <v>13.32</v>
      </c>
      <c r="V100">
        <f>Source!Y61</f>
        <v>80.209999999999994</v>
      </c>
    </row>
    <row r="101" spans="1:26" x14ac:dyDescent="0.2">
      <c r="C101" s="28" t="str">
        <f>"Объем: "&amp;Source!I61&amp;"=21,6/"&amp;"100"</f>
        <v>Объем: 0,216=21,6/100</v>
      </c>
    </row>
    <row r="102" spans="1:26" ht="14.25" x14ac:dyDescent="0.2">
      <c r="A102" s="53"/>
      <c r="B102" s="54"/>
      <c r="C102" s="54" t="s">
        <v>366</v>
      </c>
      <c r="D102" s="35"/>
      <c r="E102" s="13"/>
      <c r="F102" s="36">
        <f>Source!AO61</f>
        <v>130.52000000000001</v>
      </c>
      <c r="G102" s="37" t="str">
        <f>Source!DG61</f>
        <v/>
      </c>
      <c r="H102" s="38">
        <f>ROUND(Source!AF61*Source!I61, 2)</f>
        <v>28.19</v>
      </c>
      <c r="I102" s="37"/>
      <c r="J102" s="37">
        <f>IF(Source!BA61&lt;&gt; 0, Source!BA61, 1)</f>
        <v>5.99</v>
      </c>
      <c r="K102" s="38">
        <f>Source!S61</f>
        <v>168.87</v>
      </c>
      <c r="L102" s="39"/>
      <c r="R102">
        <f>H102</f>
        <v>28.19</v>
      </c>
    </row>
    <row r="103" spans="1:26" ht="14.25" x14ac:dyDescent="0.2">
      <c r="A103" s="53"/>
      <c r="B103" s="54"/>
      <c r="C103" s="54" t="s">
        <v>144</v>
      </c>
      <c r="D103" s="35"/>
      <c r="E103" s="13"/>
      <c r="F103" s="36">
        <f>Source!AM61</f>
        <v>8.3000000000000007</v>
      </c>
      <c r="G103" s="37" t="str">
        <f>Source!DE61</f>
        <v/>
      </c>
      <c r="H103" s="38">
        <f>ROUND(Source!AD61*Source!I61, 2)</f>
        <v>1.79</v>
      </c>
      <c r="I103" s="37"/>
      <c r="J103" s="37">
        <f>IF(Source!BB61&lt;&gt; 0, Source!BB61, 1)</f>
        <v>5.99</v>
      </c>
      <c r="K103" s="38">
        <f>Source!Q61</f>
        <v>10.74</v>
      </c>
      <c r="L103" s="39"/>
    </row>
    <row r="104" spans="1:26" ht="14.25" x14ac:dyDescent="0.2">
      <c r="A104" s="53"/>
      <c r="B104" s="54"/>
      <c r="C104" s="54" t="s">
        <v>367</v>
      </c>
      <c r="D104" s="35"/>
      <c r="E104" s="13"/>
      <c r="F104" s="36">
        <f>Source!AN61</f>
        <v>1.39</v>
      </c>
      <c r="G104" s="37" t="str">
        <f>Source!DF61</f>
        <v/>
      </c>
      <c r="H104" s="40">
        <f>ROUND(Source!AE61*Source!I61, 2)</f>
        <v>0.3</v>
      </c>
      <c r="I104" s="37"/>
      <c r="J104" s="37">
        <f>IF(Source!BS61&lt;&gt; 0, Source!BS61, 1)</f>
        <v>5.99</v>
      </c>
      <c r="K104" s="40">
        <f>Source!R61</f>
        <v>1.8</v>
      </c>
      <c r="L104" s="39"/>
      <c r="R104">
        <f>H104</f>
        <v>0.3</v>
      </c>
    </row>
    <row r="105" spans="1:26" ht="14.25" x14ac:dyDescent="0.2">
      <c r="A105" s="53"/>
      <c r="B105" s="54"/>
      <c r="C105" s="54" t="s">
        <v>373</v>
      </c>
      <c r="D105" s="35"/>
      <c r="E105" s="13"/>
      <c r="F105" s="36">
        <f>Source!AL61</f>
        <v>546.6</v>
      </c>
      <c r="G105" s="37" t="str">
        <f>Source!DD61</f>
        <v/>
      </c>
      <c r="H105" s="38">
        <f>ROUND(Source!AC61*Source!I61, 2)</f>
        <v>118.07</v>
      </c>
      <c r="I105" s="37"/>
      <c r="J105" s="37">
        <f>IF(Source!BC61&lt;&gt; 0, Source!BC61, 1)</f>
        <v>5.99</v>
      </c>
      <c r="K105" s="38">
        <f>Source!P61</f>
        <v>707.21</v>
      </c>
      <c r="L105" s="39"/>
    </row>
    <row r="106" spans="1:26" ht="14.25" x14ac:dyDescent="0.2">
      <c r="A106" s="53"/>
      <c r="B106" s="54"/>
      <c r="C106" s="54" t="s">
        <v>368</v>
      </c>
      <c r="D106" s="35" t="s">
        <v>369</v>
      </c>
      <c r="E106" s="13">
        <f>Source!BZ61</f>
        <v>105</v>
      </c>
      <c r="F106" s="106" t="str">
        <f>CONCATENATE(" )", Source!DL61, Source!FT61, "=", Source!FX61)</f>
        <v xml:space="preserve"> )*0,9=94,5</v>
      </c>
      <c r="G106" s="107"/>
      <c r="H106" s="38">
        <f>SUM(S100:S110)</f>
        <v>26.92</v>
      </c>
      <c r="I106" s="41"/>
      <c r="J106" s="32">
        <f>Source!AT61</f>
        <v>95</v>
      </c>
      <c r="K106" s="38">
        <f>SUM(T100:T110)</f>
        <v>162.13999999999999</v>
      </c>
      <c r="L106" s="39"/>
    </row>
    <row r="107" spans="1:26" ht="14.25" x14ac:dyDescent="0.2">
      <c r="A107" s="53"/>
      <c r="B107" s="54"/>
      <c r="C107" s="54" t="s">
        <v>370</v>
      </c>
      <c r="D107" s="35" t="s">
        <v>369</v>
      </c>
      <c r="E107" s="13">
        <f>Source!CA61</f>
        <v>55</v>
      </c>
      <c r="F107" s="106" t="str">
        <f>CONCATENATE(" )", Source!DM61, Source!FU61, "=", Source!FY61)</f>
        <v xml:space="preserve"> )*0,85=46,75</v>
      </c>
      <c r="G107" s="107"/>
      <c r="H107" s="38">
        <f>SUM(U100:U110)</f>
        <v>13.32</v>
      </c>
      <c r="I107" s="41"/>
      <c r="J107" s="32">
        <f>Source!AU61</f>
        <v>47</v>
      </c>
      <c r="K107" s="38">
        <f>SUM(V100:V110)</f>
        <v>80.209999999999994</v>
      </c>
      <c r="L107" s="39"/>
    </row>
    <row r="108" spans="1:26" ht="14.25" x14ac:dyDescent="0.2">
      <c r="A108" s="53"/>
      <c r="B108" s="54"/>
      <c r="C108" s="54" t="s">
        <v>371</v>
      </c>
      <c r="D108" s="35" t="s">
        <v>372</v>
      </c>
      <c r="E108" s="13">
        <f>Source!AQ61</f>
        <v>14.39</v>
      </c>
      <c r="F108" s="36"/>
      <c r="G108" s="37" t="str">
        <f>Source!DI61</f>
        <v/>
      </c>
      <c r="H108" s="38"/>
      <c r="I108" s="37"/>
      <c r="J108" s="37"/>
      <c r="K108" s="38"/>
      <c r="L108" s="49">
        <f>Source!U61</f>
        <v>3.1082399999999999</v>
      </c>
    </row>
    <row r="109" spans="1:26" ht="14.25" x14ac:dyDescent="0.2">
      <c r="A109" s="53" t="str">
        <f>Source!E63</f>
        <v>8,1</v>
      </c>
      <c r="B109" s="54" t="str">
        <f>Source!F63</f>
        <v>14.4.02.07</v>
      </c>
      <c r="C109" s="54" t="str">
        <f>Source!G63</f>
        <v>Краски перхлорвиниловые</v>
      </c>
      <c r="D109" s="35" t="str">
        <f>Source!H63</f>
        <v>т</v>
      </c>
      <c r="E109" s="13">
        <f>Source!I63</f>
        <v>1.2744E-2</v>
      </c>
      <c r="F109" s="36">
        <f>Source!AL63+Source!AM63+Source!AO63</f>
        <v>0</v>
      </c>
      <c r="G109" s="50" t="s">
        <v>6</v>
      </c>
      <c r="H109" s="38">
        <f>ROUND(Source!AC63*Source!I63, 2)+ROUND(Source!AD63*Source!I63, 2)+ROUND(Source!AF63*Source!I63, 2)</f>
        <v>0</v>
      </c>
      <c r="I109" s="37"/>
      <c r="J109" s="37">
        <f>IF(Source!BC63&lt;&gt; 0, Source!BC63, 1)</f>
        <v>5.99</v>
      </c>
      <c r="K109" s="38">
        <f>Source!O63</f>
        <v>0</v>
      </c>
      <c r="L109" s="39"/>
      <c r="S109">
        <f>ROUND((Source!FX63/100)*((ROUND(Source!AF63*Source!I63, 2)+ROUND(Source!AE63*Source!I63, 2))), 2)</f>
        <v>0</v>
      </c>
      <c r="T109">
        <f>Source!X63</f>
        <v>0</v>
      </c>
      <c r="U109">
        <f>ROUND((Source!FY63/100)*((ROUND(Source!AF63*Source!I63, 2)+ROUND(Source!AE63*Source!I63, 2))), 2)</f>
        <v>0</v>
      </c>
      <c r="V109">
        <f>Source!Y63</f>
        <v>0</v>
      </c>
      <c r="W109">
        <f>IF(Source!BI63&lt;=1,H109, 0)</f>
        <v>0</v>
      </c>
      <c r="X109">
        <f>IF(Source!BI63=2,H109, 0)</f>
        <v>0</v>
      </c>
      <c r="Y109">
        <f>IF(Source!BI63=3,H109, 0)</f>
        <v>0</v>
      </c>
      <c r="Z109">
        <f>IF(Source!BI63=4,H109, 0)</f>
        <v>0</v>
      </c>
    </row>
    <row r="110" spans="1:26" ht="28.5" x14ac:dyDescent="0.2">
      <c r="A110" s="55" t="str">
        <f>Source!E65</f>
        <v>8,2</v>
      </c>
      <c r="B110" s="56" t="str">
        <f>Source!F65</f>
        <v>14.4.02.07-0002</v>
      </c>
      <c r="C110" s="56" t="str">
        <f>Source!G65</f>
        <v>Краска ХВ-161 перхлорвиниловая фасадная марок А, Б</v>
      </c>
      <c r="D110" s="42" t="str">
        <f>Source!H65</f>
        <v>т</v>
      </c>
      <c r="E110" s="43">
        <f>Source!I65</f>
        <v>1.2744999999999999E-2</v>
      </c>
      <c r="F110" s="44">
        <f>Source!AL65+Source!AM65+Source!AO65</f>
        <v>15989</v>
      </c>
      <c r="G110" s="51" t="s">
        <v>6</v>
      </c>
      <c r="H110" s="46">
        <f>ROUND(Source!AC65*Source!I65, 2)+ROUND(Source!AD65*Source!I65, 2)+ROUND(Source!AF65*Source!I65, 2)</f>
        <v>203.78</v>
      </c>
      <c r="I110" s="45"/>
      <c r="J110" s="45">
        <f>IF(Source!BC65&lt;&gt; 0, Source!BC65, 1)</f>
        <v>5.99</v>
      </c>
      <c r="K110" s="46">
        <f>Source!O65</f>
        <v>1220.6400000000001</v>
      </c>
      <c r="L110" s="52"/>
      <c r="S110">
        <f>ROUND((Source!FX65/100)*((ROUND(Source!AF65*Source!I65, 2)+ROUND(Source!AE65*Source!I65, 2))), 2)</f>
        <v>0</v>
      </c>
      <c r="T110">
        <f>Source!X65</f>
        <v>0</v>
      </c>
      <c r="U110">
        <f>ROUND((Source!FY65/100)*((ROUND(Source!AF65*Source!I65, 2)+ROUND(Source!AE65*Source!I65, 2))), 2)</f>
        <v>0</v>
      </c>
      <c r="V110">
        <f>Source!Y65</f>
        <v>0</v>
      </c>
      <c r="W110">
        <f>IF(Source!BI65&lt;=1,H110, 0)</f>
        <v>203.78</v>
      </c>
      <c r="X110">
        <f>IF(Source!BI65=2,H110, 0)</f>
        <v>0</v>
      </c>
      <c r="Y110">
        <f>IF(Source!BI65=3,H110, 0)</f>
        <v>0</v>
      </c>
      <c r="Z110">
        <f>IF(Source!BI65=4,H110, 0)</f>
        <v>0</v>
      </c>
    </row>
    <row r="111" spans="1:26" ht="15" x14ac:dyDescent="0.25">
      <c r="G111" s="105">
        <f>H102+H103+H105+H106+H107+SUM(H109:H110)</f>
        <v>392.06999999999994</v>
      </c>
      <c r="H111" s="105"/>
      <c r="J111" s="105">
        <f>K102+K103+K105+K106+K107+SUM(K109:K110)</f>
        <v>2349.8100000000004</v>
      </c>
      <c r="K111" s="105"/>
      <c r="L111" s="48">
        <f>Source!U61</f>
        <v>3.1082399999999999</v>
      </c>
      <c r="O111" s="29">
        <f>G111</f>
        <v>392.06999999999994</v>
      </c>
      <c r="P111" s="29">
        <f>J111</f>
        <v>2349.8100000000004</v>
      </c>
      <c r="Q111" s="29">
        <f>L111</f>
        <v>3.1082399999999999</v>
      </c>
      <c r="W111">
        <f>IF(Source!BI61&lt;=1,H102+H103+H105+H106+H107, 0)</f>
        <v>188.28999999999996</v>
      </c>
      <c r="X111">
        <f>IF(Source!BI61=2,H102+H103+H105+H106+H107, 0)</f>
        <v>0</v>
      </c>
      <c r="Y111">
        <f>IF(Source!BI61=3,H102+H103+H105+H106+H107, 0)</f>
        <v>0</v>
      </c>
      <c r="Z111">
        <f>IF(Source!BI61=4,H102+H103+H105+H106+H107, 0)</f>
        <v>0</v>
      </c>
    </row>
    <row r="112" spans="1:26" ht="42.75" x14ac:dyDescent="0.2">
      <c r="A112" s="55" t="str">
        <f>Source!E67</f>
        <v>9</v>
      </c>
      <c r="B112" s="56" t="str">
        <f>Source!F67</f>
        <v>т01-01-01-041</v>
      </c>
      <c r="C112" s="56" t="str">
        <f>Source!G67</f>
        <v>Погрузочные работы при автомобильных перевозках мусора строительного с погрузкой вручную</v>
      </c>
      <c r="D112" s="42" t="str">
        <f>Source!H67</f>
        <v>1 Т ГРУЗА</v>
      </c>
      <c r="E112" s="43">
        <f>Source!I67</f>
        <v>3.1</v>
      </c>
      <c r="F112" s="44">
        <f>Source!AK67</f>
        <v>42.98</v>
      </c>
      <c r="G112" s="45" t="str">
        <f>Source!DC67</f>
        <v/>
      </c>
      <c r="H112" s="46">
        <f>ROUND(Source!AB67*Source!I67, 2)</f>
        <v>133.24</v>
      </c>
      <c r="I112" s="45" t="str">
        <f>Source!BO67</f>
        <v/>
      </c>
      <c r="J112" s="45">
        <f>Source!AZ67</f>
        <v>5.99</v>
      </c>
      <c r="K112" s="46">
        <f>Source!GM67</f>
        <v>798.1</v>
      </c>
      <c r="L112" s="52"/>
      <c r="S112">
        <f>ROUND((Source!FX67/100)*((ROUND(0*Source!I67, 2)+ROUND(0*Source!I67, 2))), 2)</f>
        <v>0</v>
      </c>
      <c r="T112">
        <f>Source!X67</f>
        <v>0</v>
      </c>
      <c r="U112">
        <f>ROUND((Source!FY67/100)*((ROUND(0*Source!I67, 2)+ROUND(0*Source!I67, 2))), 2)</f>
        <v>0</v>
      </c>
      <c r="V112">
        <f>Source!Y67</f>
        <v>0</v>
      </c>
    </row>
    <row r="113" spans="1:26" ht="15" x14ac:dyDescent="0.25">
      <c r="G113" s="105">
        <f>H112</f>
        <v>133.24</v>
      </c>
      <c r="H113" s="105"/>
      <c r="J113" s="105">
        <f>K112</f>
        <v>798.1</v>
      </c>
      <c r="K113" s="105"/>
      <c r="L113" s="48">
        <f>Source!U67</f>
        <v>0</v>
      </c>
      <c r="O113" s="29">
        <f>G113</f>
        <v>133.24</v>
      </c>
      <c r="P113" s="29">
        <f>J113</f>
        <v>798.1</v>
      </c>
      <c r="Q113" s="29">
        <f>L113</f>
        <v>0</v>
      </c>
      <c r="W113">
        <f>IF(Source!BI67&lt;=1,H112, 0)</f>
        <v>133.24</v>
      </c>
      <c r="X113">
        <f>IF(Source!BI67=2,H112, 0)</f>
        <v>0</v>
      </c>
      <c r="Y113">
        <f>IF(Source!BI67=3,H112, 0)</f>
        <v>0</v>
      </c>
      <c r="Z113">
        <f>IF(Source!BI67=4,H112, 0)</f>
        <v>0</v>
      </c>
    </row>
    <row r="114" spans="1:26" ht="57" x14ac:dyDescent="0.2">
      <c r="A114" s="55" t="str">
        <f>Source!E69</f>
        <v>10</v>
      </c>
      <c r="B114" s="56" t="str">
        <f>Source!F69</f>
        <v>т03-21-01-015</v>
      </c>
      <c r="C114" s="56" t="str">
        <f>Source!G69</f>
        <v>Перевозка грузов I класса автомобилями-самосвалами грузоподъемностью 10 т работающих вне карьера на расстояние до 15 км</v>
      </c>
      <c r="D114" s="42" t="str">
        <f>Source!H69</f>
        <v>1 Т ГРУЗА</v>
      </c>
      <c r="E114" s="43">
        <f>Source!I69</f>
        <v>3.1</v>
      </c>
      <c r="F114" s="44">
        <f>Source!AK69</f>
        <v>13.38</v>
      </c>
      <c r="G114" s="45" t="str">
        <f>Source!DC69</f>
        <v/>
      </c>
      <c r="H114" s="46">
        <f>ROUND(Source!AB69*Source!I69, 2)</f>
        <v>41.48</v>
      </c>
      <c r="I114" s="45" t="str">
        <f>Source!BO69</f>
        <v/>
      </c>
      <c r="J114" s="45">
        <f>Source!AZ69</f>
        <v>5.99</v>
      </c>
      <c r="K114" s="46">
        <f>Source!GM69</f>
        <v>248.45</v>
      </c>
      <c r="L114" s="52"/>
      <c r="S114">
        <f>ROUND((Source!FX69/100)*((ROUND(0*Source!I69, 2)+ROUND(0*Source!I69, 2))), 2)</f>
        <v>0</v>
      </c>
      <c r="T114">
        <f>Source!X69</f>
        <v>0</v>
      </c>
      <c r="U114">
        <f>ROUND((Source!FY69/100)*((ROUND(0*Source!I69, 2)+ROUND(0*Source!I69, 2))), 2)</f>
        <v>0</v>
      </c>
      <c r="V114">
        <f>Source!Y69</f>
        <v>0</v>
      </c>
    </row>
    <row r="115" spans="1:26" ht="15" x14ac:dyDescent="0.25">
      <c r="G115" s="105">
        <f>H114</f>
        <v>41.48</v>
      </c>
      <c r="H115" s="105"/>
      <c r="J115" s="105">
        <f>K114</f>
        <v>248.45</v>
      </c>
      <c r="K115" s="105"/>
      <c r="L115" s="48">
        <f>Source!U69</f>
        <v>0</v>
      </c>
      <c r="O115" s="29">
        <f>G115</f>
        <v>41.48</v>
      </c>
      <c r="P115" s="29">
        <f>J115</f>
        <v>248.45</v>
      </c>
      <c r="Q115" s="29">
        <f>L115</f>
        <v>0</v>
      </c>
      <c r="W115">
        <f>IF(Source!BI69&lt;=1,H114, 0)</f>
        <v>41.48</v>
      </c>
      <c r="X115">
        <f>IF(Source!BI69=2,H114, 0)</f>
        <v>0</v>
      </c>
      <c r="Y115">
        <f>IF(Source!BI69=3,H114, 0)</f>
        <v>0</v>
      </c>
      <c r="Z115">
        <f>IF(Source!BI69=4,H114, 0)</f>
        <v>0</v>
      </c>
    </row>
    <row r="117" spans="1:26" ht="15" x14ac:dyDescent="0.25">
      <c r="A117" s="109" t="str">
        <f>CONCATENATE("Итого по локальной смете: ",IF(Source!G71&lt;&gt;"Новая локальная смета", Source!G71, ""))</f>
        <v xml:space="preserve">Итого по локальной смете: </v>
      </c>
      <c r="B117" s="109"/>
      <c r="C117" s="109"/>
      <c r="D117" s="109"/>
      <c r="E117" s="109"/>
      <c r="F117" s="109"/>
      <c r="G117" s="108">
        <f>SUM(O21:O116)</f>
        <v>239531.49</v>
      </c>
      <c r="H117" s="108"/>
      <c r="I117" s="31"/>
      <c r="J117" s="108">
        <f>SUM(P21:P116)</f>
        <v>1434866.6500000001</v>
      </c>
      <c r="K117" s="108"/>
      <c r="L117" s="48">
        <f>SUM(Q21:Q116)</f>
        <v>474.07652999999999</v>
      </c>
    </row>
    <row r="118" spans="1:26" ht="15" x14ac:dyDescent="0.25">
      <c r="C118" s="109" t="str">
        <f>Source!H105</f>
        <v>НДС 18%</v>
      </c>
      <c r="D118" s="109"/>
      <c r="E118" s="109"/>
      <c r="F118" s="109"/>
      <c r="G118" s="109"/>
      <c r="H118" s="109"/>
      <c r="I118" s="109"/>
      <c r="J118" s="108">
        <f>IF(Source!P105=0, "", Source!P105)</f>
        <v>258087.62</v>
      </c>
      <c r="K118" s="108"/>
    </row>
    <row r="119" spans="1:26" ht="15" x14ac:dyDescent="0.25">
      <c r="C119" s="109" t="str">
        <f>Source!H106</f>
        <v>Всего</v>
      </c>
      <c r="D119" s="109"/>
      <c r="E119" s="109"/>
      <c r="F119" s="109"/>
      <c r="G119" s="109"/>
      <c r="H119" s="109"/>
      <c r="I119" s="109"/>
      <c r="J119" s="108">
        <f>IF(Source!P106=0, "", Source!P106)</f>
        <v>1691907.72</v>
      </c>
      <c r="K119" s="108"/>
    </row>
  </sheetData>
  <mergeCells count="58">
    <mergeCell ref="G66:H66"/>
    <mergeCell ref="F36:G36"/>
    <mergeCell ref="J29:K29"/>
    <mergeCell ref="G29:H29"/>
    <mergeCell ref="J66:K66"/>
    <mergeCell ref="J41:K41"/>
    <mergeCell ref="G41:H41"/>
    <mergeCell ref="F37:G37"/>
    <mergeCell ref="C118:I118"/>
    <mergeCell ref="J118:K118"/>
    <mergeCell ref="C119:I119"/>
    <mergeCell ref="J119:K119"/>
    <mergeCell ref="F106:G106"/>
    <mergeCell ref="J113:K113"/>
    <mergeCell ref="G113:H113"/>
    <mergeCell ref="G117:H117"/>
    <mergeCell ref="J117:K117"/>
    <mergeCell ref="A117:F117"/>
    <mergeCell ref="J115:K115"/>
    <mergeCell ref="G115:H115"/>
    <mergeCell ref="A18:L18"/>
    <mergeCell ref="J111:K111"/>
    <mergeCell ref="G111:H111"/>
    <mergeCell ref="F107:G107"/>
    <mergeCell ref="J52:K52"/>
    <mergeCell ref="G52:H52"/>
    <mergeCell ref="F49:G49"/>
    <mergeCell ref="F48:G48"/>
    <mergeCell ref="F27:G27"/>
    <mergeCell ref="F26:G26"/>
    <mergeCell ref="J77:K77"/>
    <mergeCell ref="G77:H77"/>
    <mergeCell ref="J99:K99"/>
    <mergeCell ref="G99:H99"/>
    <mergeCell ref="J89:K89"/>
    <mergeCell ref="G89:H89"/>
    <mergeCell ref="C15:F15"/>
    <mergeCell ref="G15:H15"/>
    <mergeCell ref="I15:J15"/>
    <mergeCell ref="K15:L15"/>
    <mergeCell ref="K16:L16"/>
    <mergeCell ref="C16:F16"/>
    <mergeCell ref="G16:H16"/>
    <mergeCell ref="I16:J16"/>
    <mergeCell ref="C13:F13"/>
    <mergeCell ref="G13:H13"/>
    <mergeCell ref="I13:J13"/>
    <mergeCell ref="K13:L13"/>
    <mergeCell ref="C14:F14"/>
    <mergeCell ref="G14:H14"/>
    <mergeCell ref="I14:J14"/>
    <mergeCell ref="K14:L14"/>
    <mergeCell ref="B4:K4"/>
    <mergeCell ref="B6:K6"/>
    <mergeCell ref="B8:K8"/>
    <mergeCell ref="B9:K9"/>
    <mergeCell ref="G12:H12"/>
    <mergeCell ref="I12:J12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1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31"/>
      <c r="B2" s="31"/>
      <c r="C2" s="31"/>
      <c r="D2" s="31"/>
      <c r="E2" s="115" t="s">
        <v>374</v>
      </c>
      <c r="F2" s="115"/>
      <c r="G2" s="115"/>
      <c r="H2" s="115"/>
    </row>
    <row r="3" spans="1:31" ht="14.25" x14ac:dyDescent="0.2">
      <c r="A3" s="14"/>
      <c r="B3" s="14"/>
      <c r="C3" s="14"/>
      <c r="D3" s="14"/>
      <c r="E3" s="115" t="s">
        <v>375</v>
      </c>
      <c r="F3" s="115"/>
      <c r="G3" s="115"/>
      <c r="H3" s="115"/>
    </row>
    <row r="4" spans="1:31" ht="14.25" x14ac:dyDescent="0.2">
      <c r="A4" s="14"/>
      <c r="B4" s="14"/>
      <c r="C4" s="14"/>
      <c r="D4" s="14"/>
      <c r="E4" s="115" t="s">
        <v>376</v>
      </c>
      <c r="F4" s="115"/>
      <c r="G4" s="115"/>
      <c r="H4" s="115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110" t="s">
        <v>377</v>
      </c>
      <c r="H6" s="111"/>
    </row>
    <row r="7" spans="1:31" ht="14.25" x14ac:dyDescent="0.2">
      <c r="A7" s="14"/>
      <c r="B7" s="14"/>
      <c r="C7" s="14"/>
      <c r="D7" s="14"/>
      <c r="E7" s="14"/>
      <c r="F7" s="13" t="s">
        <v>378</v>
      </c>
      <c r="G7" s="116" t="s">
        <v>379</v>
      </c>
      <c r="H7" s="111"/>
    </row>
    <row r="8" spans="1:31" ht="14.25" x14ac:dyDescent="0.2">
      <c r="A8" s="14"/>
      <c r="B8" s="14"/>
      <c r="C8" s="14"/>
      <c r="D8" s="14"/>
      <c r="E8" s="14"/>
      <c r="F8" s="14"/>
      <c r="G8" s="110" t="str">
        <f>IF(Source!AT15 &lt;&gt; "", Source!AT15, "")</f>
        <v/>
      </c>
      <c r="H8" s="111"/>
    </row>
    <row r="9" spans="1:31" ht="14.25" x14ac:dyDescent="0.2">
      <c r="A9" s="14" t="s">
        <v>380</v>
      </c>
      <c r="B9" s="14"/>
      <c r="C9" s="114" t="str">
        <f>IF(Source!BA15 &lt;&gt; "", Source!BA15, IF(Source!AU15 &lt;&gt; "", Source!AU15, ""))</f>
        <v/>
      </c>
      <c r="D9" s="114"/>
      <c r="E9" s="114"/>
      <c r="F9" s="13" t="s">
        <v>381</v>
      </c>
      <c r="G9" s="112"/>
      <c r="H9" s="113"/>
    </row>
    <row r="10" spans="1:31" ht="14.25" x14ac:dyDescent="0.2">
      <c r="A10" s="14"/>
      <c r="B10" s="14"/>
      <c r="C10" s="117" t="s">
        <v>382</v>
      </c>
      <c r="D10" s="117"/>
      <c r="E10" s="117"/>
      <c r="F10" s="14"/>
      <c r="G10" s="110" t="str">
        <f>IF(Source!AK15 &lt;&gt; "", Source!AK15, "")</f>
        <v/>
      </c>
      <c r="H10" s="111"/>
    </row>
    <row r="11" spans="1:31" ht="14.25" x14ac:dyDescent="0.2">
      <c r="A11" s="14" t="s">
        <v>383</v>
      </c>
      <c r="B11" s="14"/>
      <c r="C11" s="114" t="str">
        <f>IF(Source!AX12&lt;&gt; "", Source!AX12, IF(Source!AJ12 &lt;&gt; "", Source!AJ12, ""))</f>
        <v/>
      </c>
      <c r="D11" s="114"/>
      <c r="E11" s="114"/>
      <c r="F11" s="13" t="s">
        <v>381</v>
      </c>
      <c r="G11" s="112"/>
      <c r="H11" s="113"/>
    </row>
    <row r="12" spans="1:31" ht="14.25" x14ac:dyDescent="0.2">
      <c r="A12" s="14"/>
      <c r="B12" s="14"/>
      <c r="C12" s="117" t="s">
        <v>382</v>
      </c>
      <c r="D12" s="117"/>
      <c r="E12" s="117"/>
      <c r="F12" s="14"/>
      <c r="G12" s="110" t="str">
        <f>IF(Source!AO15 &lt;&gt; "", Source!AO15, "")</f>
        <v/>
      </c>
      <c r="H12" s="111"/>
    </row>
    <row r="13" spans="1:31" ht="14.25" x14ac:dyDescent="0.2">
      <c r="A13" s="14" t="s">
        <v>384</v>
      </c>
      <c r="B13" s="14"/>
      <c r="C13" s="114" t="str">
        <f>IF(Source!AY12&lt;&gt; "", Source!AY12, IF(Source!AN12 &lt;&gt; "", Source!AN12, ""))</f>
        <v/>
      </c>
      <c r="D13" s="114"/>
      <c r="E13" s="114"/>
      <c r="F13" s="13" t="s">
        <v>381</v>
      </c>
      <c r="G13" s="112"/>
      <c r="H13" s="113"/>
    </row>
    <row r="14" spans="1:31" ht="14.25" x14ac:dyDescent="0.2">
      <c r="A14" s="14"/>
      <c r="B14" s="14"/>
      <c r="C14" s="117" t="s">
        <v>382</v>
      </c>
      <c r="D14" s="117"/>
      <c r="E14" s="117"/>
      <c r="F14" s="14"/>
      <c r="G14" s="110" t="str">
        <f>IF(Source!CO15 &lt;&gt; "", Source!CO15, "")</f>
        <v/>
      </c>
      <c r="H14" s="111"/>
    </row>
    <row r="15" spans="1:31" ht="28.5" x14ac:dyDescent="0.2">
      <c r="A15" s="14" t="s">
        <v>385</v>
      </c>
      <c r="B15" s="14"/>
      <c r="C15" s="114" t="s">
        <v>5</v>
      </c>
      <c r="D15" s="114"/>
      <c r="E15" s="114"/>
      <c r="F15" s="14"/>
      <c r="G15" s="112"/>
      <c r="H15" s="113"/>
      <c r="AE15" s="34" t="s">
        <v>5</v>
      </c>
    </row>
    <row r="16" spans="1:31" ht="14.25" x14ac:dyDescent="0.2">
      <c r="A16" s="14"/>
      <c r="B16" s="14"/>
      <c r="C16" s="117" t="s">
        <v>386</v>
      </c>
      <c r="D16" s="117"/>
      <c r="E16" s="117"/>
      <c r="F16" s="14"/>
      <c r="G16" s="110" t="str">
        <f>IF(Source!CP15 &lt;&gt; "", Source!CP15, "")</f>
        <v/>
      </c>
      <c r="H16" s="111"/>
    </row>
    <row r="17" spans="1:31" ht="28.5" x14ac:dyDescent="0.2">
      <c r="A17" s="14" t="s">
        <v>387</v>
      </c>
      <c r="B17" s="14"/>
      <c r="C17" s="114" t="str">
        <f>IF(Source!G12&lt;&gt;"Новый объект", Source!G12, "")</f>
        <v>Капитальный ремонт окооных проемов в библиотекеучебного корпуса ДИТИ НИЯУ МИФИ_</v>
      </c>
      <c r="D17" s="114"/>
      <c r="E17" s="114"/>
      <c r="F17" s="14"/>
      <c r="G17" s="118"/>
      <c r="H17" s="119"/>
      <c r="AE17" s="34" t="str">
        <f>IF(Source!G12&lt;&gt;"Новый объект", Source!G12, "")</f>
        <v>Капитальный ремонт окооных проемов в библиотекеучебного корпуса ДИТИ НИЯУ МИФИ_</v>
      </c>
    </row>
    <row r="18" spans="1:31" ht="14.25" x14ac:dyDescent="0.2">
      <c r="A18" s="14"/>
      <c r="B18" s="14"/>
      <c r="C18" s="117" t="s">
        <v>388</v>
      </c>
      <c r="D18" s="117"/>
      <c r="E18" s="117"/>
      <c r="F18" s="14"/>
      <c r="G18" s="14"/>
      <c r="H18" s="14"/>
    </row>
    <row r="19" spans="1:31" ht="14.25" x14ac:dyDescent="0.2">
      <c r="A19" s="14"/>
      <c r="B19" s="14"/>
      <c r="C19" s="14"/>
      <c r="D19" s="103" t="s">
        <v>389</v>
      </c>
      <c r="E19" s="103"/>
      <c r="F19" s="121"/>
      <c r="G19" s="110" t="str">
        <f>IF(Source!CQ15 &lt;&gt; "", Source!CQ15, "")</f>
        <v/>
      </c>
      <c r="H19" s="111"/>
    </row>
    <row r="20" spans="1:31" ht="14.25" x14ac:dyDescent="0.2">
      <c r="A20" s="14"/>
      <c r="B20" s="14"/>
      <c r="C20" s="14"/>
      <c r="D20" s="103" t="s">
        <v>390</v>
      </c>
      <c r="E20" s="121"/>
      <c r="F20" s="59" t="s">
        <v>391</v>
      </c>
      <c r="G20" s="110" t="str">
        <f>IF(Source!CR15 &lt;&gt; "", Source!CR15, "")</f>
        <v/>
      </c>
      <c r="H20" s="111"/>
    </row>
    <row r="21" spans="1:31" ht="14.25" x14ac:dyDescent="0.2">
      <c r="A21" s="14"/>
      <c r="B21" s="14"/>
      <c r="C21" s="14"/>
      <c r="D21" s="14"/>
      <c r="E21" s="14"/>
      <c r="F21" s="24" t="s">
        <v>392</v>
      </c>
      <c r="G21" s="122" t="str">
        <f>IF(Source!CS15 &lt;&gt; 0, Source!CS15, "")</f>
        <v/>
      </c>
      <c r="H21" s="123"/>
    </row>
    <row r="22" spans="1:31" ht="14.25" x14ac:dyDescent="0.2">
      <c r="A22" s="14"/>
      <c r="B22" s="14"/>
      <c r="C22" s="14"/>
      <c r="D22" s="14"/>
      <c r="E22" s="14"/>
      <c r="F22" s="13" t="s">
        <v>393</v>
      </c>
      <c r="G22" s="124" t="str">
        <f>IF(Source!CT15 &lt;&gt; "", Source!CT15, "")</f>
        <v/>
      </c>
      <c r="H22" s="125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26" t="s">
        <v>394</v>
      </c>
      <c r="E24" s="128" t="s">
        <v>395</v>
      </c>
      <c r="F24" s="128" t="s">
        <v>396</v>
      </c>
      <c r="G24" s="130"/>
      <c r="H24" s="14"/>
    </row>
    <row r="25" spans="1:31" ht="14.25" x14ac:dyDescent="0.2">
      <c r="A25" s="14"/>
      <c r="B25" s="14"/>
      <c r="C25" s="14"/>
      <c r="D25" s="127"/>
      <c r="E25" s="129"/>
      <c r="F25" s="60" t="s">
        <v>397</v>
      </c>
      <c r="G25" s="61" t="s">
        <v>398</v>
      </c>
      <c r="H25" s="14"/>
    </row>
    <row r="26" spans="1:31" ht="14.25" x14ac:dyDescent="0.2">
      <c r="A26" s="14"/>
      <c r="B26" s="14"/>
      <c r="C26" s="14"/>
      <c r="D26" s="62" t="str">
        <f>IF(Source!CN15 &lt;&gt; "", Source!CN15, "")</f>
        <v/>
      </c>
      <c r="E26" s="63">
        <v>43123.631076388891</v>
      </c>
      <c r="F26" s="62"/>
      <c r="G26" s="64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20" t="s">
        <v>399</v>
      </c>
      <c r="B28" s="120"/>
      <c r="C28" s="120"/>
      <c r="D28" s="120"/>
      <c r="E28" s="120"/>
      <c r="F28" s="120"/>
      <c r="G28" s="120"/>
      <c r="H28" s="120"/>
    </row>
    <row r="29" spans="1:31" ht="18" x14ac:dyDescent="0.25">
      <c r="A29" s="120" t="s">
        <v>400</v>
      </c>
      <c r="B29" s="120"/>
      <c r="C29" s="120"/>
      <c r="D29" s="120"/>
      <c r="E29" s="120"/>
      <c r="F29" s="120"/>
      <c r="G29" s="120"/>
      <c r="H29" s="120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401</v>
      </c>
      <c r="B31" s="14"/>
      <c r="C31" s="14"/>
      <c r="D31" s="14"/>
      <c r="E31" s="14"/>
      <c r="F31" s="131">
        <f>(Source!P143/1000)</f>
        <v>1691.9077199999999</v>
      </c>
      <c r="G31" s="131"/>
      <c r="H31" s="14" t="s">
        <v>402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132" t="s">
        <v>403</v>
      </c>
      <c r="B33" s="132"/>
      <c r="C33" s="132" t="s">
        <v>404</v>
      </c>
      <c r="D33" s="132" t="s">
        <v>405</v>
      </c>
      <c r="E33" s="132" t="s">
        <v>406</v>
      </c>
      <c r="F33" s="132" t="s">
        <v>407</v>
      </c>
      <c r="G33" s="132"/>
      <c r="H33" s="132"/>
    </row>
    <row r="34" spans="1:28" ht="57" x14ac:dyDescent="0.2">
      <c r="A34" s="23" t="s">
        <v>408</v>
      </c>
      <c r="B34" s="23" t="s">
        <v>409</v>
      </c>
      <c r="C34" s="132"/>
      <c r="D34" s="132"/>
      <c r="E34" s="132"/>
      <c r="F34" s="23" t="s">
        <v>410</v>
      </c>
      <c r="G34" s="23" t="s">
        <v>411</v>
      </c>
      <c r="H34" s="23" t="s">
        <v>412</v>
      </c>
    </row>
    <row r="35" spans="1:28" ht="14.25" x14ac:dyDescent="0.2">
      <c r="A35" s="23">
        <v>1</v>
      </c>
      <c r="B35" s="23">
        <v>2</v>
      </c>
      <c r="C35" s="23">
        <v>3</v>
      </c>
      <c r="D35" s="23">
        <v>4</v>
      </c>
      <c r="E35" s="23">
        <v>5</v>
      </c>
      <c r="F35" s="23">
        <v>6</v>
      </c>
      <c r="G35" s="23">
        <v>7</v>
      </c>
      <c r="H35" s="23">
        <v>8</v>
      </c>
    </row>
    <row r="37" spans="1:28" ht="16.5" x14ac:dyDescent="0.25">
      <c r="A37" s="134" t="str">
        <f>CONCATENATE("Локальная смета: ",IF(Source!G20&lt;&gt;"Новая локальная смета", Source!G20, ""))</f>
        <v xml:space="preserve">Локальная смета: </v>
      </c>
      <c r="B37" s="134"/>
      <c r="C37" s="134"/>
      <c r="D37" s="134"/>
      <c r="E37" s="134"/>
      <c r="F37" s="134"/>
      <c r="G37" s="134"/>
      <c r="H37" s="134"/>
    </row>
    <row r="38" spans="1:28" ht="42.75" x14ac:dyDescent="0.2">
      <c r="A38" s="54">
        <v>1</v>
      </c>
      <c r="B38" s="54" t="str">
        <f>Source!E25</f>
        <v>1</v>
      </c>
      <c r="C38" s="54" t="str">
        <f>Source!G25</f>
        <v>Разборка деревянных заполнений проемов оконных с подоконными досками</v>
      </c>
      <c r="D38" s="54" t="str">
        <f>Source!F25</f>
        <v>46-04-012-01</v>
      </c>
      <c r="E38" s="37" t="str">
        <f>Source!H25</f>
        <v>100 м2</v>
      </c>
      <c r="F38" s="14">
        <f>Source!I25</f>
        <v>1.0349999999999999</v>
      </c>
      <c r="G38" s="26">
        <f>Source!AB25</f>
        <v>1767.24</v>
      </c>
      <c r="H38" s="27">
        <f>Source!O25</f>
        <v>10956.27</v>
      </c>
      <c r="T38">
        <f>Source!O25+Source!X25+Source!Y25</f>
        <v>27021.73</v>
      </c>
      <c r="U38">
        <f>Source!P25</f>
        <v>0</v>
      </c>
      <c r="V38">
        <f>Source!S25</f>
        <v>9456.26</v>
      </c>
      <c r="W38">
        <f>Source!Q25</f>
        <v>1500.01</v>
      </c>
      <c r="X38">
        <f>Source!R25</f>
        <v>647.79999999999995</v>
      </c>
      <c r="Y38">
        <f>Source!U25</f>
        <v>195.13889999999998</v>
      </c>
      <c r="Z38">
        <f>Source!V25</f>
        <v>8.0108999999999995</v>
      </c>
      <c r="AA38">
        <f>Source!X25</f>
        <v>10003.02</v>
      </c>
      <c r="AB38">
        <f>Source!Y25</f>
        <v>6062.44</v>
      </c>
    </row>
    <row r="39" spans="1:28" ht="14.25" x14ac:dyDescent="0.2">
      <c r="C39" s="28" t="str">
        <f>"Объем: "&amp;Source!I25&amp;"=103,5/"&amp;"100"</f>
        <v>Объем: 1,035=103,5/100</v>
      </c>
      <c r="F39" s="14"/>
      <c r="G39" s="14"/>
      <c r="H39" s="14"/>
    </row>
    <row r="40" spans="1:28" x14ac:dyDescent="0.2">
      <c r="C40" s="28" t="s">
        <v>413</v>
      </c>
      <c r="D40" s="28">
        <f>Source!BA25</f>
        <v>5.99</v>
      </c>
    </row>
    <row r="41" spans="1:28" x14ac:dyDescent="0.2">
      <c r="C41" s="28" t="s">
        <v>414</v>
      </c>
      <c r="D41" s="28">
        <f>Source!BB25</f>
        <v>5.99</v>
      </c>
    </row>
    <row r="42" spans="1:28" x14ac:dyDescent="0.2">
      <c r="C42" s="28" t="s">
        <v>415</v>
      </c>
      <c r="D42" s="28">
        <f>Source!BC25</f>
        <v>5.99</v>
      </c>
    </row>
    <row r="43" spans="1:28" x14ac:dyDescent="0.2">
      <c r="C43" s="28" t="s">
        <v>416</v>
      </c>
      <c r="D43" s="28">
        <f>Source!BS25</f>
        <v>5.99</v>
      </c>
    </row>
    <row r="44" spans="1:28" x14ac:dyDescent="0.2">
      <c r="C44" s="11" t="s">
        <v>417</v>
      </c>
      <c r="D44" s="41"/>
      <c r="E44" s="41"/>
      <c r="F44" s="41">
        <f>Source!BZ25</f>
        <v>110</v>
      </c>
      <c r="G44" s="65">
        <f>(Source!AF25+Source!AE25)*Source!FX25/100</f>
        <v>1613.4821999999999</v>
      </c>
      <c r="H44" s="66">
        <f>Source!X25</f>
        <v>10003.02</v>
      </c>
    </row>
    <row r="45" spans="1:28" x14ac:dyDescent="0.2">
      <c r="C45" s="11" t="s">
        <v>418</v>
      </c>
      <c r="D45" s="41"/>
      <c r="E45" s="41"/>
      <c r="F45" s="41"/>
      <c r="G45" s="41" t="str">
        <f>CONCATENATE(Source!DL25,Source!FT25, "=", Source!FX25, "%")</f>
        <v>*0,9=99%</v>
      </c>
      <c r="H45" s="41" t="str">
        <f>CONCATENATE(Source!AT25)</f>
        <v>99</v>
      </c>
    </row>
    <row r="46" spans="1:28" x14ac:dyDescent="0.2">
      <c r="C46" s="11" t="s">
        <v>419</v>
      </c>
      <c r="D46" s="41"/>
      <c r="E46" s="41"/>
      <c r="F46" s="41">
        <f>Source!CA25</f>
        <v>70</v>
      </c>
      <c r="G46" s="65">
        <f>(Source!AF25+Source!AE25)*Source!FY25/100</f>
        <v>969.71910000000003</v>
      </c>
      <c r="H46" s="66">
        <f>Source!Y25</f>
        <v>6062.44</v>
      </c>
    </row>
    <row r="47" spans="1:28" x14ac:dyDescent="0.2">
      <c r="C47" s="11" t="s">
        <v>420</v>
      </c>
      <c r="D47" s="41"/>
      <c r="E47" s="41"/>
      <c r="F47" s="41"/>
      <c r="G47" s="41" t="str">
        <f>CONCATENATE(Source!DM25,Source!FU25, "=", Source!FY25, "%")</f>
        <v>*0,85=59,5%</v>
      </c>
      <c r="H47" s="41" t="str">
        <f>CONCATENATE(Source!AU25)</f>
        <v>60</v>
      </c>
    </row>
    <row r="48" spans="1:28" x14ac:dyDescent="0.2">
      <c r="C48" s="11" t="s">
        <v>421</v>
      </c>
      <c r="D48" s="41"/>
      <c r="E48" s="41"/>
      <c r="F48" s="41"/>
      <c r="G48" s="65">
        <f>((Source!AF25+Source!AE25)*Source!FX25/100)+((Source!AF25+Source!AE25)*Source!FY25/100)+Source!AB25</f>
        <v>4350.4412999999995</v>
      </c>
      <c r="H48" s="66">
        <f>Source!O25+Source!X25+Source!Y25</f>
        <v>27021.73</v>
      </c>
    </row>
    <row r="49" spans="1:28" ht="99.75" x14ac:dyDescent="0.2">
      <c r="A49" s="54">
        <v>2</v>
      </c>
      <c r="B49" s="54" t="str">
        <f>Source!E27</f>
        <v>2</v>
      </c>
      <c r="C49" s="54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49" s="54" t="str">
        <f>Source!F27</f>
        <v>10-01-034-08</v>
      </c>
      <c r="E49" s="37" t="str">
        <f>Source!H27</f>
        <v>100 м2</v>
      </c>
      <c r="F49" s="14">
        <f>Source!I27</f>
        <v>1.0349999999999999</v>
      </c>
      <c r="G49" s="26">
        <f>Source!AB27</f>
        <v>10107.89</v>
      </c>
      <c r="H49" s="27">
        <f>Source!O27</f>
        <v>62665.38</v>
      </c>
      <c r="T49">
        <f>Source!O27+Source!X27+Source!Y27</f>
        <v>76096.109999999986</v>
      </c>
      <c r="U49">
        <f>Source!P27</f>
        <v>53000.93</v>
      </c>
      <c r="V49">
        <f>Source!S27</f>
        <v>8082.24</v>
      </c>
      <c r="W49">
        <f>Source!Q27</f>
        <v>1582.21</v>
      </c>
      <c r="X49">
        <f>Source!R27</f>
        <v>311.97000000000003</v>
      </c>
      <c r="Y49">
        <f>Source!U27</f>
        <v>154.38059999999999</v>
      </c>
      <c r="Z49">
        <f>Source!V27</f>
        <v>4.37805</v>
      </c>
      <c r="AA49">
        <f>Source!X27</f>
        <v>8897.86</v>
      </c>
      <c r="AB49">
        <f>Source!Y27</f>
        <v>4532.87</v>
      </c>
    </row>
    <row r="50" spans="1:28" ht="14.25" x14ac:dyDescent="0.2">
      <c r="C50" s="28" t="str">
        <f>"Объем: "&amp;Source!I27&amp;"=103,5/"&amp;"100"</f>
        <v>Объем: 1,035=103,5/100</v>
      </c>
      <c r="F50" s="14"/>
      <c r="G50" s="14"/>
      <c r="H50" s="14"/>
    </row>
    <row r="51" spans="1:28" x14ac:dyDescent="0.2">
      <c r="C51" s="28" t="s">
        <v>413</v>
      </c>
      <c r="D51" s="28">
        <f>Source!BA27</f>
        <v>5.99</v>
      </c>
    </row>
    <row r="52" spans="1:28" x14ac:dyDescent="0.2">
      <c r="C52" s="28" t="s">
        <v>414</v>
      </c>
      <c r="D52" s="28">
        <f>Source!BB27</f>
        <v>5.99</v>
      </c>
    </row>
    <row r="53" spans="1:28" x14ac:dyDescent="0.2">
      <c r="C53" s="28" t="s">
        <v>415</v>
      </c>
      <c r="D53" s="28">
        <f>Source!BC27</f>
        <v>5.99</v>
      </c>
    </row>
    <row r="54" spans="1:28" x14ac:dyDescent="0.2">
      <c r="C54" s="28" t="s">
        <v>416</v>
      </c>
      <c r="D54" s="28">
        <f>Source!BS27</f>
        <v>5.99</v>
      </c>
    </row>
    <row r="55" spans="1:28" x14ac:dyDescent="0.2">
      <c r="C55" s="11" t="s">
        <v>417</v>
      </c>
      <c r="D55" s="41"/>
      <c r="E55" s="41"/>
      <c r="F55" s="41">
        <f>Source!BZ27</f>
        <v>118</v>
      </c>
      <c r="G55" s="65">
        <f>(Source!AF27+Source!AE27)*Source!FX27/100</f>
        <v>1437.9267600000001</v>
      </c>
      <c r="H55" s="66">
        <f>Source!X27</f>
        <v>8897.86</v>
      </c>
    </row>
    <row r="56" spans="1:28" x14ac:dyDescent="0.2">
      <c r="C56" s="11" t="s">
        <v>418</v>
      </c>
      <c r="D56" s="41"/>
      <c r="E56" s="41"/>
      <c r="F56" s="41"/>
      <c r="G56" s="41" t="str">
        <f>CONCATENATE(Source!DL27,Source!FT27, "=", Source!FX27, "%")</f>
        <v>*0,9=106,2%</v>
      </c>
      <c r="H56" s="41" t="str">
        <f>CONCATENATE(Source!AT27)</f>
        <v>106</v>
      </c>
    </row>
    <row r="57" spans="1:28" x14ac:dyDescent="0.2">
      <c r="C57" s="11" t="s">
        <v>419</v>
      </c>
      <c r="D57" s="41"/>
      <c r="E57" s="41"/>
      <c r="F57" s="41">
        <f>Source!CA27</f>
        <v>63</v>
      </c>
      <c r="G57" s="65">
        <f>(Source!AF27+Source!AE27)*Source!FY27/100</f>
        <v>725.05628999999999</v>
      </c>
      <c r="H57" s="66">
        <f>Source!Y27</f>
        <v>4532.87</v>
      </c>
    </row>
    <row r="58" spans="1:28" x14ac:dyDescent="0.2">
      <c r="C58" s="11" t="s">
        <v>420</v>
      </c>
      <c r="D58" s="41"/>
      <c r="E58" s="41"/>
      <c r="F58" s="41"/>
      <c r="G58" s="41" t="str">
        <f>CONCATENATE(Source!DM27,Source!FU27, "=", Source!FY27, "%")</f>
        <v>*0,85=53,55%</v>
      </c>
      <c r="H58" s="41" t="str">
        <f>CONCATENATE(Source!AU27)</f>
        <v>54</v>
      </c>
    </row>
    <row r="59" spans="1:28" x14ac:dyDescent="0.2">
      <c r="C59" s="11" t="s">
        <v>421</v>
      </c>
      <c r="D59" s="41"/>
      <c r="E59" s="41"/>
      <c r="F59" s="41"/>
      <c r="G59" s="65">
        <f>((Source!AF27+Source!AE27)*Source!FX27/100)+((Source!AF27+Source!AE27)*Source!FY27/100)+Source!AB27</f>
        <v>12270.873049999998</v>
      </c>
      <c r="H59" s="66">
        <f>Source!O27+Source!X27+Source!Y27</f>
        <v>76096.109999999986</v>
      </c>
    </row>
    <row r="60" spans="1:28" ht="14.25" x14ac:dyDescent="0.2">
      <c r="A60" s="54">
        <v>3</v>
      </c>
      <c r="B60" s="54" t="str">
        <f>Source!E29</f>
        <v>2,1</v>
      </c>
      <c r="C60" s="54" t="str">
        <f>Source!G29</f>
        <v>Блоки оконные пластиковые</v>
      </c>
      <c r="D60" s="54" t="str">
        <f>Source!F29</f>
        <v>11.3.02.03</v>
      </c>
      <c r="E60" s="37" t="str">
        <f>Source!H29</f>
        <v>м2</v>
      </c>
      <c r="F60" s="14">
        <f>Source!I29</f>
        <v>103.5</v>
      </c>
      <c r="G60" s="26">
        <f>Source!AB29</f>
        <v>0</v>
      </c>
      <c r="H60" s="27">
        <f>Source!O29</f>
        <v>0</v>
      </c>
      <c r="T60">
        <f>Source!O29+Source!X29+Source!Y29</f>
        <v>0</v>
      </c>
      <c r="U60">
        <f>Source!P29</f>
        <v>0</v>
      </c>
      <c r="V60">
        <f>Source!S29</f>
        <v>0</v>
      </c>
      <c r="W60">
        <f>Source!Q29</f>
        <v>0</v>
      </c>
      <c r="X60">
        <f>Source!R29</f>
        <v>0</v>
      </c>
      <c r="Y60">
        <f>Source!U29</f>
        <v>0</v>
      </c>
      <c r="Z60">
        <f>Source!V29</f>
        <v>0</v>
      </c>
      <c r="AA60">
        <f>Source!X29</f>
        <v>0</v>
      </c>
      <c r="AB60">
        <f>Source!Y29</f>
        <v>0</v>
      </c>
    </row>
    <row r="61" spans="1:28" ht="14.25" x14ac:dyDescent="0.2">
      <c r="C61" s="28" t="s">
        <v>415</v>
      </c>
      <c r="D61" s="28">
        <f>Source!BC29</f>
        <v>5.99</v>
      </c>
      <c r="F61" s="14"/>
      <c r="G61" s="14"/>
      <c r="H61" s="14"/>
    </row>
    <row r="62" spans="1:28" ht="71.25" x14ac:dyDescent="0.2">
      <c r="A62" s="54">
        <v>4</v>
      </c>
      <c r="B62" s="54" t="str">
        <f>Source!E31</f>
        <v>2,2</v>
      </c>
      <c r="C62" s="54" t="str">
        <f>Source!G31</f>
        <v>Блок оконный пластиковый  с 6-ю глухими створками остекления, с 2-мя   поворотно-откидными  створками, 5-ти камерным стеклопакетом (42 мм), площадью более 3,5 м2</v>
      </c>
      <c r="D62" s="54" t="str">
        <f>Source!F31</f>
        <v>11.3.02.01-0021</v>
      </c>
      <c r="E62" s="37" t="str">
        <f>Source!H31</f>
        <v>м2</v>
      </c>
      <c r="F62" s="14">
        <f>Source!I31</f>
        <v>103.5</v>
      </c>
      <c r="G62" s="26">
        <f>Source!AB31</f>
        <v>2074.38</v>
      </c>
      <c r="H62" s="27">
        <f>Source!O31</f>
        <v>1286043</v>
      </c>
      <c r="T62">
        <f>Source!O31+Source!X31+Source!Y31</f>
        <v>1286043</v>
      </c>
      <c r="U62">
        <f>Source!P31</f>
        <v>1286043</v>
      </c>
      <c r="V62">
        <f>Source!S31</f>
        <v>0</v>
      </c>
      <c r="W62">
        <f>Source!Q31</f>
        <v>0</v>
      </c>
      <c r="X62">
        <f>Source!R31</f>
        <v>0</v>
      </c>
      <c r="Y62">
        <f>Source!U31</f>
        <v>0</v>
      </c>
      <c r="Z62">
        <f>Source!V31</f>
        <v>0</v>
      </c>
      <c r="AA62">
        <f>Source!X31</f>
        <v>0</v>
      </c>
      <c r="AB62">
        <f>Source!Y31</f>
        <v>0</v>
      </c>
    </row>
    <row r="63" spans="1:28" ht="14.25" x14ac:dyDescent="0.2">
      <c r="C63" s="28" t="s">
        <v>415</v>
      </c>
      <c r="D63" s="28">
        <f>Source!BC31</f>
        <v>5.99</v>
      </c>
      <c r="F63" s="14"/>
      <c r="G63" s="14"/>
      <c r="H63" s="14"/>
    </row>
    <row r="64" spans="1:28" ht="42.75" x14ac:dyDescent="0.2">
      <c r="A64" s="54">
        <v>5</v>
      </c>
      <c r="B64" s="54" t="str">
        <f>Source!E33</f>
        <v>3</v>
      </c>
      <c r="C64" s="54" t="str">
        <f>Source!G33</f>
        <v>Установка подоконных досок из ПВХ в каменных стенах толщиной свыше 0,51 м</v>
      </c>
      <c r="D64" s="54" t="str">
        <f>Source!F33</f>
        <v>10-01-035-03</v>
      </c>
      <c r="E64" s="37" t="str">
        <f>Source!H33</f>
        <v>100 м</v>
      </c>
      <c r="F64" s="14">
        <f>Source!I33</f>
        <v>0.20699999999999999</v>
      </c>
      <c r="G64" s="26">
        <f>Source!AB33</f>
        <v>6481.17</v>
      </c>
      <c r="H64" s="27">
        <f>Source!O33</f>
        <v>8036.2</v>
      </c>
      <c r="T64">
        <f>Source!O33+Source!X33+Source!Y33</f>
        <v>8406.7899999999991</v>
      </c>
      <c r="U64">
        <f>Source!P33</f>
        <v>7782.92</v>
      </c>
      <c r="V64">
        <f>Source!S33</f>
        <v>226.13</v>
      </c>
      <c r="W64">
        <f>Source!Q33</f>
        <v>27.15</v>
      </c>
      <c r="X64">
        <f>Source!R33</f>
        <v>5.49</v>
      </c>
      <c r="Y64">
        <f>Source!U33</f>
        <v>4.4256599999999997</v>
      </c>
      <c r="Z64">
        <f>Source!V33</f>
        <v>7.6589999999999991E-2</v>
      </c>
      <c r="AA64">
        <f>Source!X33</f>
        <v>245.52</v>
      </c>
      <c r="AB64">
        <f>Source!Y33</f>
        <v>125.07</v>
      </c>
    </row>
    <row r="65" spans="1:28" ht="14.25" x14ac:dyDescent="0.2">
      <c r="C65" s="28" t="str">
        <f>"Объем: "&amp;Source!I33&amp;"=20,7/"&amp;"100"</f>
        <v>Объем: 0,207=20,7/100</v>
      </c>
      <c r="F65" s="14"/>
      <c r="G65" s="14"/>
      <c r="H65" s="14"/>
    </row>
    <row r="66" spans="1:28" x14ac:dyDescent="0.2">
      <c r="C66" s="28" t="s">
        <v>413</v>
      </c>
      <c r="D66" s="28">
        <f>Source!BA33</f>
        <v>5.99</v>
      </c>
    </row>
    <row r="67" spans="1:28" x14ac:dyDescent="0.2">
      <c r="C67" s="28" t="s">
        <v>414</v>
      </c>
      <c r="D67" s="28">
        <f>Source!BB33</f>
        <v>5.99</v>
      </c>
    </row>
    <row r="68" spans="1:28" x14ac:dyDescent="0.2">
      <c r="C68" s="28" t="s">
        <v>415</v>
      </c>
      <c r="D68" s="28">
        <f>Source!BC33</f>
        <v>5.99</v>
      </c>
    </row>
    <row r="69" spans="1:28" x14ac:dyDescent="0.2">
      <c r="C69" s="28" t="s">
        <v>416</v>
      </c>
      <c r="D69" s="28">
        <f>Source!BS33</f>
        <v>5.99</v>
      </c>
    </row>
    <row r="70" spans="1:28" x14ac:dyDescent="0.2">
      <c r="C70" s="11" t="s">
        <v>417</v>
      </c>
      <c r="D70" s="41"/>
      <c r="E70" s="41"/>
      <c r="F70" s="41">
        <f>Source!BZ33</f>
        <v>118</v>
      </c>
      <c r="G70" s="65">
        <f>(Source!AF33+Source!AE33)*Source!FX33/100</f>
        <v>198.38160000000005</v>
      </c>
      <c r="H70" s="66">
        <f>Source!X33</f>
        <v>245.52</v>
      </c>
    </row>
    <row r="71" spans="1:28" x14ac:dyDescent="0.2">
      <c r="C71" s="11" t="s">
        <v>418</v>
      </c>
      <c r="D71" s="41"/>
      <c r="E71" s="41"/>
      <c r="F71" s="41"/>
      <c r="G71" s="41" t="str">
        <f>CONCATENATE(Source!DL33,Source!FT33, "=", Source!FX33, "%")</f>
        <v>*0,9=106,2%</v>
      </c>
      <c r="H71" s="41" t="str">
        <f>CONCATENATE(Source!AT33)</f>
        <v>106</v>
      </c>
    </row>
    <row r="72" spans="1:28" x14ac:dyDescent="0.2">
      <c r="C72" s="11" t="s">
        <v>419</v>
      </c>
      <c r="D72" s="41"/>
      <c r="E72" s="41"/>
      <c r="F72" s="41">
        <f>Source!CA33</f>
        <v>63</v>
      </c>
      <c r="G72" s="65">
        <f>(Source!AF33+Source!AE33)*Source!FY33/100</f>
        <v>100.03139999999999</v>
      </c>
      <c r="H72" s="66">
        <f>Source!Y33</f>
        <v>125.07</v>
      </c>
    </row>
    <row r="73" spans="1:28" x14ac:dyDescent="0.2">
      <c r="C73" s="11" t="s">
        <v>420</v>
      </c>
      <c r="D73" s="41"/>
      <c r="E73" s="41"/>
      <c r="F73" s="41"/>
      <c r="G73" s="41" t="str">
        <f>CONCATENATE(Source!DM33,Source!FU33, "=", Source!FY33, "%")</f>
        <v>*0,85=53,55%</v>
      </c>
      <c r="H73" s="41" t="str">
        <f>CONCATENATE(Source!AU33)</f>
        <v>54</v>
      </c>
    </row>
    <row r="74" spans="1:28" x14ac:dyDescent="0.2">
      <c r="C74" s="11" t="s">
        <v>421</v>
      </c>
      <c r="D74" s="41"/>
      <c r="E74" s="41"/>
      <c r="F74" s="41"/>
      <c r="G74" s="65">
        <f>((Source!AF33+Source!AE33)*Source!FX33/100)+((Source!AF33+Source!AE33)*Source!FY33/100)+Source!AB33</f>
        <v>6779.5830000000005</v>
      </c>
      <c r="H74" s="66">
        <f>Source!O33+Source!X33+Source!Y33</f>
        <v>8406.7899999999991</v>
      </c>
    </row>
    <row r="75" spans="1:28" ht="28.5" x14ac:dyDescent="0.2">
      <c r="A75" s="54">
        <v>6</v>
      </c>
      <c r="B75" s="54" t="str">
        <f>Source!E35</f>
        <v>3,1</v>
      </c>
      <c r="C75" s="54" t="str">
        <f>Source!G35</f>
        <v>Доски подоконные ПВХ, шириной 500 мм</v>
      </c>
      <c r="D75" s="54" t="str">
        <f>Source!F35</f>
        <v>11.3.03.01-0010</v>
      </c>
      <c r="E75" s="37" t="str">
        <f>Source!H35</f>
        <v>м</v>
      </c>
      <c r="F75" s="14">
        <f>Source!I35</f>
        <v>20.7</v>
      </c>
      <c r="G75" s="26">
        <f>Source!AB35</f>
        <v>64.349999999999994</v>
      </c>
      <c r="H75" s="27">
        <f>Source!O35</f>
        <v>7978.95</v>
      </c>
      <c r="T75">
        <f>Source!O35+Source!X35+Source!Y35</f>
        <v>7978.95</v>
      </c>
      <c r="U75">
        <f>Source!P35</f>
        <v>7978.95</v>
      </c>
      <c r="V75">
        <f>Source!S35</f>
        <v>0</v>
      </c>
      <c r="W75">
        <f>Source!Q35</f>
        <v>0</v>
      </c>
      <c r="X75">
        <f>Source!R35</f>
        <v>0</v>
      </c>
      <c r="Y75">
        <f>Source!U35</f>
        <v>0</v>
      </c>
      <c r="Z75">
        <f>Source!V35</f>
        <v>0</v>
      </c>
      <c r="AA75">
        <f>Source!X35</f>
        <v>0</v>
      </c>
      <c r="AB75">
        <f>Source!Y35</f>
        <v>0</v>
      </c>
    </row>
    <row r="76" spans="1:28" ht="14.25" x14ac:dyDescent="0.2">
      <c r="C76" s="28" t="s">
        <v>415</v>
      </c>
      <c r="D76" s="28">
        <f>Source!BC35</f>
        <v>5.99</v>
      </c>
      <c r="F76" s="14"/>
      <c r="G76" s="14"/>
      <c r="H76" s="14"/>
    </row>
    <row r="77" spans="1:28" ht="42.75" x14ac:dyDescent="0.2">
      <c r="A77" s="54">
        <v>7</v>
      </c>
      <c r="B77" s="54" t="str">
        <f>Source!E37</f>
        <v>4</v>
      </c>
      <c r="C77" s="54" t="str">
        <f>Source!G37</f>
        <v>Смена обделок из листовой стали (поясков, сандриков, отливов, карнизов) шириной до 0,4 м</v>
      </c>
      <c r="D77" s="54" t="str">
        <f>Source!F37</f>
        <v>58-20-1</v>
      </c>
      <c r="E77" s="37" t="str">
        <f>Source!H37</f>
        <v>100 м</v>
      </c>
      <c r="F77" s="14">
        <f>Source!I37</f>
        <v>0.20699999999999999</v>
      </c>
      <c r="G77" s="26">
        <f>Source!AB37</f>
        <v>454.41</v>
      </c>
      <c r="H77" s="27">
        <f>Source!O37</f>
        <v>563.44000000000005</v>
      </c>
      <c r="T77">
        <f>Source!O37+Source!X37+Source!Y37</f>
        <v>1214.48</v>
      </c>
      <c r="U77">
        <f>Source!P37</f>
        <v>119.1</v>
      </c>
      <c r="V77">
        <f>Source!S37</f>
        <v>437.98</v>
      </c>
      <c r="W77">
        <f>Source!Q37</f>
        <v>6.36</v>
      </c>
      <c r="X77">
        <f>Source!R37</f>
        <v>1.91</v>
      </c>
      <c r="Y77">
        <f>Source!U37</f>
        <v>8.5718699999999988</v>
      </c>
      <c r="Z77">
        <f>Source!V37</f>
        <v>2.4839999999999997E-2</v>
      </c>
      <c r="AA77">
        <f>Source!X37</f>
        <v>365.11</v>
      </c>
      <c r="AB77">
        <f>Source!Y37</f>
        <v>285.93</v>
      </c>
    </row>
    <row r="78" spans="1:28" ht="14.25" x14ac:dyDescent="0.2">
      <c r="C78" s="28" t="str">
        <f>"Объем: "&amp;Source!I37&amp;"=20,7/"&amp;"100"</f>
        <v>Объем: 0,207=20,7/100</v>
      </c>
      <c r="F78" s="14"/>
      <c r="G78" s="14"/>
      <c r="H78" s="14"/>
    </row>
    <row r="79" spans="1:28" x14ac:dyDescent="0.2">
      <c r="C79" s="28" t="s">
        <v>413</v>
      </c>
      <c r="D79" s="28">
        <f>Source!BA37</f>
        <v>5.99</v>
      </c>
    </row>
    <row r="80" spans="1:28" x14ac:dyDescent="0.2">
      <c r="C80" s="28" t="s">
        <v>414</v>
      </c>
      <c r="D80" s="28">
        <f>Source!BB37</f>
        <v>5.99</v>
      </c>
    </row>
    <row r="81" spans="1:28" x14ac:dyDescent="0.2">
      <c r="C81" s="28" t="s">
        <v>415</v>
      </c>
      <c r="D81" s="28">
        <f>Source!BC37</f>
        <v>5.99</v>
      </c>
    </row>
    <row r="82" spans="1:28" x14ac:dyDescent="0.2">
      <c r="C82" s="28" t="s">
        <v>416</v>
      </c>
      <c r="D82" s="28">
        <f>Source!BS37</f>
        <v>5.99</v>
      </c>
    </row>
    <row r="83" spans="1:28" x14ac:dyDescent="0.2">
      <c r="C83" s="11" t="s">
        <v>417</v>
      </c>
      <c r="D83" s="41"/>
      <c r="E83" s="41"/>
      <c r="F83" s="41">
        <f>Source!BZ37</f>
        <v>83</v>
      </c>
      <c r="G83" s="65">
        <f>(Source!AF37+Source!AE37)*Source!FX37/100</f>
        <v>294.45910000000003</v>
      </c>
      <c r="H83" s="66">
        <f>Source!X37</f>
        <v>365.11</v>
      </c>
    </row>
    <row r="84" spans="1:28" x14ac:dyDescent="0.2">
      <c r="C84" s="11" t="s">
        <v>419</v>
      </c>
      <c r="D84" s="41"/>
      <c r="E84" s="41"/>
      <c r="F84" s="41">
        <f>Source!CA37</f>
        <v>65</v>
      </c>
      <c r="G84" s="65">
        <f>(Source!AF37+Source!AE37)*Source!FY37/100</f>
        <v>230.60050000000004</v>
      </c>
      <c r="H84" s="66">
        <f>Source!Y37</f>
        <v>285.93</v>
      </c>
    </row>
    <row r="85" spans="1:28" x14ac:dyDescent="0.2">
      <c r="C85" s="11" t="s">
        <v>421</v>
      </c>
      <c r="D85" s="41"/>
      <c r="E85" s="41"/>
      <c r="F85" s="41"/>
      <c r="G85" s="65">
        <f>((Source!AF37+Source!AE37)*Source!FX37/100)+((Source!AF37+Source!AE37)*Source!FY37/100)+Source!AB37</f>
        <v>979.46960000000013</v>
      </c>
      <c r="H85" s="66">
        <f>Source!O37+Source!X37+Source!Y37</f>
        <v>1214.48</v>
      </c>
    </row>
    <row r="86" spans="1:28" ht="14.25" x14ac:dyDescent="0.2">
      <c r="A86" s="54">
        <v>8</v>
      </c>
      <c r="B86" s="54" t="str">
        <f>Source!E39</f>
        <v>4,1</v>
      </c>
      <c r="C86" s="54" t="str">
        <f>Source!G39</f>
        <v>Строительный мусор</v>
      </c>
      <c r="D86" s="54" t="str">
        <f>Source!F39</f>
        <v>01.7.07.07</v>
      </c>
      <c r="E86" s="37" t="str">
        <f>Source!H39</f>
        <v>т</v>
      </c>
      <c r="F86" s="14">
        <f>Source!I39</f>
        <v>4.6367999999999999E-2</v>
      </c>
      <c r="G86" s="26">
        <f>Source!AB39</f>
        <v>0</v>
      </c>
      <c r="H86" s="27">
        <f>Source!O39</f>
        <v>0</v>
      </c>
      <c r="T86">
        <f>Source!O39+Source!X39+Source!Y39</f>
        <v>0</v>
      </c>
      <c r="U86">
        <f>Source!P39</f>
        <v>0</v>
      </c>
      <c r="V86">
        <f>Source!S39</f>
        <v>0</v>
      </c>
      <c r="W86">
        <f>Source!Q39</f>
        <v>0</v>
      </c>
      <c r="X86">
        <f>Source!R39</f>
        <v>0</v>
      </c>
      <c r="Y86">
        <f>Source!U39</f>
        <v>0</v>
      </c>
      <c r="Z86">
        <f>Source!V39</f>
        <v>0</v>
      </c>
      <c r="AA86">
        <f>Source!X39</f>
        <v>0</v>
      </c>
      <c r="AB86">
        <f>Source!Y39</f>
        <v>0</v>
      </c>
    </row>
    <row r="87" spans="1:28" ht="14.25" x14ac:dyDescent="0.2">
      <c r="C87" s="28" t="s">
        <v>415</v>
      </c>
      <c r="D87" s="28">
        <f>Source!BC39</f>
        <v>5.99</v>
      </c>
      <c r="F87" s="14"/>
      <c r="G87" s="14"/>
      <c r="H87" s="14"/>
    </row>
    <row r="88" spans="1:28" ht="14.25" x14ac:dyDescent="0.2">
      <c r="A88" s="54">
        <v>9</v>
      </c>
      <c r="B88" s="54" t="str">
        <f>Source!E41</f>
        <v>4,2</v>
      </c>
      <c r="C88" s="54" t="str">
        <f>Source!G41</f>
        <v>Сталь листовая оцинкованная</v>
      </c>
      <c r="D88" s="54" t="str">
        <f>Source!F41</f>
        <v>08.3.05.05</v>
      </c>
      <c r="E88" s="37" t="str">
        <f>Source!H41</f>
        <v>т</v>
      </c>
      <c r="F88" s="14">
        <f>Source!I41</f>
        <v>3.8087999999999997E-2</v>
      </c>
      <c r="G88" s="26">
        <f>Source!AB41</f>
        <v>0</v>
      </c>
      <c r="H88" s="27">
        <f>Source!O41</f>
        <v>0</v>
      </c>
      <c r="T88">
        <f>Source!O41+Source!X41+Source!Y41</f>
        <v>0</v>
      </c>
      <c r="U88">
        <f>Source!P41</f>
        <v>0</v>
      </c>
      <c r="V88">
        <f>Source!S41</f>
        <v>0</v>
      </c>
      <c r="W88">
        <f>Source!Q41</f>
        <v>0</v>
      </c>
      <c r="X88">
        <f>Source!R41</f>
        <v>0</v>
      </c>
      <c r="Y88">
        <f>Source!U41</f>
        <v>0</v>
      </c>
      <c r="Z88">
        <f>Source!V41</f>
        <v>0</v>
      </c>
      <c r="AA88">
        <f>Source!X41</f>
        <v>0</v>
      </c>
      <c r="AB88">
        <f>Source!Y41</f>
        <v>0</v>
      </c>
    </row>
    <row r="89" spans="1:28" ht="14.25" x14ac:dyDescent="0.2">
      <c r="C89" s="28" t="s">
        <v>415</v>
      </c>
      <c r="D89" s="28">
        <f>Source!BC41</f>
        <v>5.99</v>
      </c>
      <c r="F89" s="14"/>
      <c r="G89" s="14"/>
      <c r="H89" s="14"/>
    </row>
    <row r="90" spans="1:28" ht="42.75" x14ac:dyDescent="0.2">
      <c r="A90" s="54">
        <v>10</v>
      </c>
      <c r="B90" s="54" t="str">
        <f>Source!E43</f>
        <v>4,3</v>
      </c>
      <c r="C90" s="54" t="str">
        <f>Source!G43</f>
        <v>Сталь оцинкованная в рулонах толщиной 0,5 мм, с полимерным покрытием</v>
      </c>
      <c r="D90" s="54" t="str">
        <f>Source!F43</f>
        <v>08.3.05.05-0081</v>
      </c>
      <c r="E90" s="37" t="str">
        <f>Source!H43</f>
        <v>т</v>
      </c>
      <c r="F90" s="14">
        <f>Source!I43</f>
        <v>3.8087999999999997E-2</v>
      </c>
      <c r="G90" s="26">
        <f>Source!AB43</f>
        <v>8715.1</v>
      </c>
      <c r="H90" s="27">
        <f>Source!O43</f>
        <v>1988.32</v>
      </c>
      <c r="T90">
        <f>Source!O43+Source!X43+Source!Y43</f>
        <v>1988.32</v>
      </c>
      <c r="U90">
        <f>Source!P43</f>
        <v>1988.32</v>
      </c>
      <c r="V90">
        <f>Source!S43</f>
        <v>0</v>
      </c>
      <c r="W90">
        <f>Source!Q43</f>
        <v>0</v>
      </c>
      <c r="X90">
        <f>Source!R43</f>
        <v>0</v>
      </c>
      <c r="Y90">
        <f>Source!U43</f>
        <v>0</v>
      </c>
      <c r="Z90">
        <f>Source!V43</f>
        <v>0</v>
      </c>
      <c r="AA90">
        <f>Source!X43</f>
        <v>0</v>
      </c>
      <c r="AB90">
        <f>Source!Y43</f>
        <v>0</v>
      </c>
    </row>
    <row r="91" spans="1:28" ht="14.25" x14ac:dyDescent="0.2">
      <c r="C91" s="28" t="s">
        <v>415</v>
      </c>
      <c r="D91" s="28">
        <f>Source!BC43</f>
        <v>5.99</v>
      </c>
      <c r="F91" s="14"/>
      <c r="G91" s="14"/>
      <c r="H91" s="14"/>
    </row>
    <row r="92" spans="1:28" ht="42.75" x14ac:dyDescent="0.2">
      <c r="A92" s="54">
        <v>11</v>
      </c>
      <c r="B92" s="54" t="str">
        <f>Source!E45</f>
        <v>4,4</v>
      </c>
      <c r="C92" s="54" t="str">
        <f>Source!G45</f>
        <v>Водоотлив оконный шириной планки 250 мм из оцинкованной стали с полимерным покрытием</v>
      </c>
      <c r="D92" s="54" t="str">
        <f>Source!F45</f>
        <v>08.1.02.03-0021</v>
      </c>
      <c r="E92" s="37" t="str">
        <f>Source!H45</f>
        <v>П.М</v>
      </c>
      <c r="F92" s="14">
        <f>Source!I45</f>
        <v>20.7</v>
      </c>
      <c r="G92" s="26">
        <f>Source!AB45</f>
        <v>26.41</v>
      </c>
      <c r="H92" s="27">
        <f>Source!O45</f>
        <v>3274.66</v>
      </c>
      <c r="T92">
        <f>Source!O45+Source!X45+Source!Y45</f>
        <v>3274.66</v>
      </c>
      <c r="U92">
        <f>Source!P45</f>
        <v>3274.66</v>
      </c>
      <c r="V92">
        <f>Source!S45</f>
        <v>0</v>
      </c>
      <c r="W92">
        <f>Source!Q45</f>
        <v>0</v>
      </c>
      <c r="X92">
        <f>Source!R45</f>
        <v>0</v>
      </c>
      <c r="Y92">
        <f>Source!U45</f>
        <v>0</v>
      </c>
      <c r="Z92">
        <f>Source!V45</f>
        <v>0</v>
      </c>
      <c r="AA92">
        <f>Source!X45</f>
        <v>0</v>
      </c>
      <c r="AB92">
        <f>Source!Y45</f>
        <v>0</v>
      </c>
    </row>
    <row r="93" spans="1:28" ht="14.25" x14ac:dyDescent="0.2">
      <c r="C93" s="28" t="s">
        <v>415</v>
      </c>
      <c r="D93" s="28">
        <f>Source!BC45</f>
        <v>5.99</v>
      </c>
      <c r="F93" s="14"/>
      <c r="G93" s="14"/>
      <c r="H93" s="14"/>
    </row>
    <row r="94" spans="1:28" ht="71.25" x14ac:dyDescent="0.2">
      <c r="A94" s="54">
        <v>12</v>
      </c>
      <c r="B94" s="54" t="str">
        <f>Source!E47</f>
        <v>5</v>
      </c>
      <c r="C94" s="54" t="str">
        <f>Source!G47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94" s="54" t="str">
        <f>Source!F47</f>
        <v>61-2-7</v>
      </c>
      <c r="E94" s="37" t="str">
        <f>Source!H47</f>
        <v>100 м2</v>
      </c>
      <c r="F94" s="14">
        <f>Source!I47</f>
        <v>0.26279999999999998</v>
      </c>
      <c r="G94" s="26">
        <f>Source!AB47</f>
        <v>3184.37</v>
      </c>
      <c r="H94" s="27">
        <f>Source!O47</f>
        <v>5012.74</v>
      </c>
      <c r="T94">
        <f>Source!O47+Source!X47+Source!Y47</f>
        <v>9139.5499999999993</v>
      </c>
      <c r="U94">
        <f>Source!P47</f>
        <v>1794.95</v>
      </c>
      <c r="V94">
        <f>Source!S47</f>
        <v>3184.83</v>
      </c>
      <c r="W94">
        <f>Source!Q47</f>
        <v>32.96</v>
      </c>
      <c r="X94">
        <f>Source!R47</f>
        <v>14.25</v>
      </c>
      <c r="Y94">
        <f>Source!U47</f>
        <v>60.010379999999991</v>
      </c>
      <c r="Z94">
        <f>Source!V47</f>
        <v>0.17607599999999998</v>
      </c>
      <c r="AA94">
        <f>Source!X47</f>
        <v>2527.27</v>
      </c>
      <c r="AB94">
        <f>Source!Y47</f>
        <v>1599.54</v>
      </c>
    </row>
    <row r="95" spans="1:28" ht="14.25" x14ac:dyDescent="0.2">
      <c r="C95" s="28" t="str">
        <f>"Объем: "&amp;Source!I47&amp;"=26,28/"&amp;"100"</f>
        <v>Объем: 0,2628=26,28/100</v>
      </c>
      <c r="F95" s="14"/>
      <c r="G95" s="14"/>
      <c r="H95" s="14"/>
    </row>
    <row r="96" spans="1:28" x14ac:dyDescent="0.2">
      <c r="C96" s="28" t="s">
        <v>413</v>
      </c>
      <c r="D96" s="28">
        <f>Source!BA47</f>
        <v>5.99</v>
      </c>
    </row>
    <row r="97" spans="1:28" x14ac:dyDescent="0.2">
      <c r="C97" s="28" t="s">
        <v>414</v>
      </c>
      <c r="D97" s="28">
        <f>Source!BB47</f>
        <v>5.99</v>
      </c>
    </row>
    <row r="98" spans="1:28" x14ac:dyDescent="0.2">
      <c r="C98" s="28" t="s">
        <v>415</v>
      </c>
      <c r="D98" s="28">
        <f>Source!BC47</f>
        <v>5.99</v>
      </c>
    </row>
    <row r="99" spans="1:28" x14ac:dyDescent="0.2">
      <c r="C99" s="28" t="s">
        <v>416</v>
      </c>
      <c r="D99" s="28">
        <f>Source!BS47</f>
        <v>5.99</v>
      </c>
    </row>
    <row r="100" spans="1:28" x14ac:dyDescent="0.2">
      <c r="C100" s="11" t="s">
        <v>417</v>
      </c>
      <c r="D100" s="41"/>
      <c r="E100" s="41"/>
      <c r="F100" s="41">
        <f>Source!BZ47</f>
        <v>79</v>
      </c>
      <c r="G100" s="65">
        <f>(Source!AF47+Source!AE47)*Source!FX47/100</f>
        <v>1605.4617000000001</v>
      </c>
      <c r="H100" s="66">
        <f>Source!X47</f>
        <v>2527.27</v>
      </c>
    </row>
    <row r="101" spans="1:28" x14ac:dyDescent="0.2">
      <c r="C101" s="11" t="s">
        <v>419</v>
      </c>
      <c r="D101" s="41"/>
      <c r="E101" s="41"/>
      <c r="F101" s="41">
        <f>Source!CA47</f>
        <v>50</v>
      </c>
      <c r="G101" s="65">
        <f>(Source!AF47+Source!AE47)*Source!FY47/100</f>
        <v>1016.115</v>
      </c>
      <c r="H101" s="66">
        <f>Source!Y47</f>
        <v>1599.54</v>
      </c>
    </row>
    <row r="102" spans="1:28" x14ac:dyDescent="0.2">
      <c r="C102" s="11" t="s">
        <v>421</v>
      </c>
      <c r="D102" s="41"/>
      <c r="E102" s="41"/>
      <c r="F102" s="41"/>
      <c r="G102" s="65">
        <f>((Source!AF47+Source!AE47)*Source!FX47/100)+((Source!AF47+Source!AE47)*Source!FY47/100)+Source!AB47</f>
        <v>5805.9467000000004</v>
      </c>
      <c r="H102" s="66">
        <f>Source!O47+Source!X47+Source!Y47</f>
        <v>9139.5499999999993</v>
      </c>
    </row>
    <row r="103" spans="1:28" ht="14.25" x14ac:dyDescent="0.2">
      <c r="A103" s="54">
        <v>13</v>
      </c>
      <c r="B103" s="54" t="str">
        <f>Source!E49</f>
        <v>5,1</v>
      </c>
      <c r="C103" s="54" t="str">
        <f>Source!G49</f>
        <v>Строительный мусор</v>
      </c>
      <c r="D103" s="54" t="str">
        <f>Source!F49</f>
        <v>01.7.07.07</v>
      </c>
      <c r="E103" s="37" t="str">
        <f>Source!H49</f>
        <v>т</v>
      </c>
      <c r="F103" s="14">
        <f>Source!I49</f>
        <v>0.88826400000000005</v>
      </c>
      <c r="G103" s="26">
        <f>Source!AB49</f>
        <v>0</v>
      </c>
      <c r="H103" s="27">
        <f>Source!O49</f>
        <v>0</v>
      </c>
      <c r="T103">
        <f>Source!O49+Source!X49+Source!Y49</f>
        <v>0</v>
      </c>
      <c r="U103">
        <f>Source!P49</f>
        <v>0</v>
      </c>
      <c r="V103">
        <f>Source!S49</f>
        <v>0</v>
      </c>
      <c r="W103">
        <f>Source!Q49</f>
        <v>0</v>
      </c>
      <c r="X103">
        <f>Source!R49</f>
        <v>0</v>
      </c>
      <c r="Y103">
        <f>Source!U49</f>
        <v>0</v>
      </c>
      <c r="Z103">
        <f>Source!V49</f>
        <v>0</v>
      </c>
      <c r="AA103">
        <f>Source!X49</f>
        <v>0</v>
      </c>
      <c r="AB103">
        <f>Source!Y49</f>
        <v>0</v>
      </c>
    </row>
    <row r="104" spans="1:28" ht="14.25" x14ac:dyDescent="0.2">
      <c r="C104" s="28" t="s">
        <v>415</v>
      </c>
      <c r="D104" s="28">
        <f>Source!BC49</f>
        <v>5.99</v>
      </c>
      <c r="F104" s="14"/>
      <c r="G104" s="14"/>
      <c r="H104" s="14"/>
    </row>
    <row r="105" spans="1:28" ht="71.25" x14ac:dyDescent="0.2">
      <c r="A105" s="54">
        <v>14</v>
      </c>
      <c r="B105" s="54" t="str">
        <f>Source!E51</f>
        <v>6</v>
      </c>
      <c r="C105" s="54" t="str">
        <f>Source!G51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D105" s="54" t="str">
        <f>Source!F51</f>
        <v>62-16-4</v>
      </c>
      <c r="E105" s="37" t="str">
        <f>Source!H51</f>
        <v>100 м2</v>
      </c>
      <c r="F105" s="14">
        <f>Source!I51</f>
        <v>0.26279999999999998</v>
      </c>
      <c r="G105" s="26">
        <f>Source!AB51</f>
        <v>759.03</v>
      </c>
      <c r="H105" s="27">
        <f>Source!O51</f>
        <v>1194.8499999999999</v>
      </c>
      <c r="T105">
        <f>Source!O51+Source!X51+Source!Y51</f>
        <v>1722.41</v>
      </c>
      <c r="U105">
        <f>Source!P51</f>
        <v>781.14</v>
      </c>
      <c r="V105">
        <f>Source!S51</f>
        <v>402.58</v>
      </c>
      <c r="W105">
        <f>Source!Q51</f>
        <v>11.13</v>
      </c>
      <c r="X105">
        <f>Source!R51</f>
        <v>3.23</v>
      </c>
      <c r="Y105">
        <f>Source!U51</f>
        <v>7.77888</v>
      </c>
      <c r="Z105">
        <f>Source!V51</f>
        <v>4.2047999999999995E-2</v>
      </c>
      <c r="AA105">
        <f>Source!X51</f>
        <v>324.64999999999998</v>
      </c>
      <c r="AB105">
        <f>Source!Y51</f>
        <v>202.91</v>
      </c>
    </row>
    <row r="106" spans="1:28" ht="14.25" x14ac:dyDescent="0.2">
      <c r="C106" s="28" t="str">
        <f>"Объем: "&amp;Source!I51&amp;"=26,28/"&amp;"100"</f>
        <v>Объем: 0,2628=26,28/100</v>
      </c>
      <c r="F106" s="14"/>
      <c r="G106" s="14"/>
      <c r="H106" s="14"/>
    </row>
    <row r="107" spans="1:28" x14ac:dyDescent="0.2">
      <c r="C107" s="28" t="s">
        <v>413</v>
      </c>
      <c r="D107" s="28">
        <f>Source!BA51</f>
        <v>5.99</v>
      </c>
    </row>
    <row r="108" spans="1:28" x14ac:dyDescent="0.2">
      <c r="C108" s="28" t="s">
        <v>414</v>
      </c>
      <c r="D108" s="28">
        <f>Source!BB51</f>
        <v>5.99</v>
      </c>
    </row>
    <row r="109" spans="1:28" x14ac:dyDescent="0.2">
      <c r="C109" s="28" t="s">
        <v>415</v>
      </c>
      <c r="D109" s="28">
        <f>Source!BC51</f>
        <v>5.99</v>
      </c>
    </row>
    <row r="110" spans="1:28" x14ac:dyDescent="0.2">
      <c r="C110" s="28" t="s">
        <v>416</v>
      </c>
      <c r="D110" s="28">
        <f>Source!BS51</f>
        <v>5.99</v>
      </c>
    </row>
    <row r="111" spans="1:28" x14ac:dyDescent="0.2">
      <c r="C111" s="11" t="s">
        <v>417</v>
      </c>
      <c r="D111" s="41"/>
      <c r="E111" s="41"/>
      <c r="F111" s="41">
        <f>Source!BZ51</f>
        <v>80</v>
      </c>
      <c r="G111" s="65">
        <f>(Source!AF51+Source!AE51)*Source!FX51/100</f>
        <v>206.232</v>
      </c>
      <c r="H111" s="66">
        <f>Source!X51</f>
        <v>324.64999999999998</v>
      </c>
    </row>
    <row r="112" spans="1:28" x14ac:dyDescent="0.2">
      <c r="C112" s="11" t="s">
        <v>419</v>
      </c>
      <c r="D112" s="41"/>
      <c r="E112" s="41"/>
      <c r="F112" s="41">
        <f>Source!CA51</f>
        <v>50</v>
      </c>
      <c r="G112" s="65">
        <f>(Source!AF51+Source!AE51)*Source!FY51/100</f>
        <v>128.89500000000001</v>
      </c>
      <c r="H112" s="66">
        <f>Source!Y51</f>
        <v>202.91</v>
      </c>
    </row>
    <row r="113" spans="1:28" x14ac:dyDescent="0.2">
      <c r="C113" s="11" t="s">
        <v>421</v>
      </c>
      <c r="D113" s="41"/>
      <c r="E113" s="41"/>
      <c r="F113" s="41"/>
      <c r="G113" s="65">
        <f>((Source!AF51+Source!AE51)*Source!FX51/100)+((Source!AF51+Source!AE51)*Source!FY51/100)+Source!AB51</f>
        <v>1094.1569999999999</v>
      </c>
      <c r="H113" s="66">
        <f>Source!O51+Source!X51+Source!Y51</f>
        <v>1722.41</v>
      </c>
    </row>
    <row r="114" spans="1:28" ht="14.25" x14ac:dyDescent="0.2">
      <c r="A114" s="54">
        <v>15</v>
      </c>
      <c r="B114" s="54" t="str">
        <f>Source!E53</f>
        <v>6,1</v>
      </c>
      <c r="C114" s="54" t="str">
        <f>Source!G53</f>
        <v>Краска водоэмульсионная</v>
      </c>
      <c r="D114" s="54" t="str">
        <f>Source!F53</f>
        <v>14.3.02.01</v>
      </c>
      <c r="E114" s="37" t="str">
        <f>Source!H53</f>
        <v>т</v>
      </c>
      <c r="F114" s="14">
        <f>Source!I53</f>
        <v>1.8659000000000002E-2</v>
      </c>
      <c r="G114" s="26">
        <f>Source!AB53</f>
        <v>0</v>
      </c>
      <c r="H114" s="27">
        <f>Source!O53</f>
        <v>0</v>
      </c>
      <c r="T114">
        <f>Source!O53+Source!X53+Source!Y53</f>
        <v>0</v>
      </c>
      <c r="U114">
        <f>Source!P53</f>
        <v>0</v>
      </c>
      <c r="V114">
        <f>Source!S53</f>
        <v>0</v>
      </c>
      <c r="W114">
        <f>Source!Q53</f>
        <v>0</v>
      </c>
      <c r="X114">
        <f>Source!R53</f>
        <v>0</v>
      </c>
      <c r="Y114">
        <f>Source!U53</f>
        <v>0</v>
      </c>
      <c r="Z114">
        <f>Source!V53</f>
        <v>0</v>
      </c>
      <c r="AA114">
        <f>Source!X53</f>
        <v>0</v>
      </c>
      <c r="AB114">
        <f>Source!Y53</f>
        <v>0</v>
      </c>
    </row>
    <row r="115" spans="1:28" ht="14.25" x14ac:dyDescent="0.2">
      <c r="C115" s="28" t="s">
        <v>415</v>
      </c>
      <c r="D115" s="28">
        <f>Source!BC53</f>
        <v>5.99</v>
      </c>
      <c r="F115" s="14"/>
      <c r="G115" s="14"/>
      <c r="H115" s="14"/>
    </row>
    <row r="116" spans="1:28" ht="28.5" x14ac:dyDescent="0.2">
      <c r="A116" s="54">
        <v>16</v>
      </c>
      <c r="B116" s="54" t="str">
        <f>Source!E55</f>
        <v>6,2</v>
      </c>
      <c r="C116" s="54" t="str">
        <f>Source!G55</f>
        <v>Краска водоэмульсионная для внутренних работ ВАК-15</v>
      </c>
      <c r="D116" s="54" t="str">
        <f>Source!F55</f>
        <v>14.3.02.01-0223</v>
      </c>
      <c r="E116" s="37" t="str">
        <f>Source!H55</f>
        <v>т</v>
      </c>
      <c r="F116" s="14">
        <f>Source!I55</f>
        <v>1.866E-2</v>
      </c>
      <c r="G116" s="26">
        <f>Source!AB55</f>
        <v>19973.669999999998</v>
      </c>
      <c r="H116" s="27">
        <f>Source!O55</f>
        <v>2232.5300000000002</v>
      </c>
      <c r="T116">
        <f>Source!O55+Source!X55+Source!Y55</f>
        <v>2232.5300000000002</v>
      </c>
      <c r="U116">
        <f>Source!P55</f>
        <v>2232.5300000000002</v>
      </c>
      <c r="V116">
        <f>Source!S55</f>
        <v>0</v>
      </c>
      <c r="W116">
        <f>Source!Q55</f>
        <v>0</v>
      </c>
      <c r="X116">
        <f>Source!R55</f>
        <v>0</v>
      </c>
      <c r="Y116">
        <f>Source!U55</f>
        <v>0</v>
      </c>
      <c r="Z116">
        <f>Source!V55</f>
        <v>0</v>
      </c>
      <c r="AA116">
        <f>Source!X55</f>
        <v>0</v>
      </c>
      <c r="AB116">
        <f>Source!Y55</f>
        <v>0</v>
      </c>
    </row>
    <row r="117" spans="1:28" ht="14.25" x14ac:dyDescent="0.2">
      <c r="C117" s="28" t="s">
        <v>415</v>
      </c>
      <c r="D117" s="28">
        <f>Source!BC55</f>
        <v>5.99</v>
      </c>
      <c r="F117" s="14"/>
      <c r="G117" s="14"/>
      <c r="H117" s="14"/>
    </row>
    <row r="118" spans="1:28" ht="71.25" x14ac:dyDescent="0.2">
      <c r="A118" s="54">
        <v>17</v>
      </c>
      <c r="B118" s="54" t="str">
        <f>Source!E57</f>
        <v>7</v>
      </c>
      <c r="C118" s="54" t="str">
        <f>Source!G57</f>
        <v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v>
      </c>
      <c r="D118" s="54" t="str">
        <f>Source!F57</f>
        <v>61-10-3</v>
      </c>
      <c r="E118" s="37" t="str">
        <f>Source!H57</f>
        <v>100 м2</v>
      </c>
      <c r="F118" s="14">
        <f>Source!I57</f>
        <v>0.216</v>
      </c>
      <c r="G118" s="26">
        <f>Source!AB57</f>
        <v>2786.77</v>
      </c>
      <c r="H118" s="27">
        <f>Source!O57</f>
        <v>3605.64</v>
      </c>
      <c r="T118">
        <f>Source!O57+Source!X57+Source!Y57</f>
        <v>6351.76</v>
      </c>
      <c r="U118">
        <f>Source!P57</f>
        <v>1475.3</v>
      </c>
      <c r="V118">
        <f>Source!S57</f>
        <v>2128.77</v>
      </c>
      <c r="W118">
        <f>Source!Q57</f>
        <v>1.57</v>
      </c>
      <c r="X118">
        <f>Source!R57</f>
        <v>0</v>
      </c>
      <c r="Y118">
        <f>Source!U57</f>
        <v>40.661999999999999</v>
      </c>
      <c r="Z118">
        <f>Source!V57</f>
        <v>0</v>
      </c>
      <c r="AA118">
        <f>Source!X57</f>
        <v>1681.73</v>
      </c>
      <c r="AB118">
        <f>Source!Y57</f>
        <v>1064.3900000000001</v>
      </c>
    </row>
    <row r="119" spans="1:28" ht="14.25" x14ac:dyDescent="0.2">
      <c r="C119" s="28" t="str">
        <f>"Объем: "&amp;Source!I57&amp;"=21,6/"&amp;"100"</f>
        <v>Объем: 0,216=21,6/100</v>
      </c>
      <c r="F119" s="14"/>
      <c r="G119" s="14"/>
      <c r="H119" s="14"/>
    </row>
    <row r="120" spans="1:28" x14ac:dyDescent="0.2">
      <c r="C120" s="28" t="s">
        <v>413</v>
      </c>
      <c r="D120" s="28">
        <f>Source!BA57</f>
        <v>5.99</v>
      </c>
    </row>
    <row r="121" spans="1:28" x14ac:dyDescent="0.2">
      <c r="C121" s="28" t="s">
        <v>414</v>
      </c>
      <c r="D121" s="28">
        <f>Source!BB57</f>
        <v>5.99</v>
      </c>
    </row>
    <row r="122" spans="1:28" x14ac:dyDescent="0.2">
      <c r="C122" s="28" t="s">
        <v>415</v>
      </c>
      <c r="D122" s="28">
        <f>Source!BC57</f>
        <v>5.99</v>
      </c>
    </row>
    <row r="123" spans="1:28" x14ac:dyDescent="0.2">
      <c r="C123" s="28" t="s">
        <v>416</v>
      </c>
      <c r="D123" s="28">
        <f>Source!BS57</f>
        <v>5.99</v>
      </c>
    </row>
    <row r="124" spans="1:28" x14ac:dyDescent="0.2">
      <c r="C124" s="11" t="s">
        <v>417</v>
      </c>
      <c r="D124" s="41"/>
      <c r="E124" s="41"/>
      <c r="F124" s="41">
        <f>Source!BZ57</f>
        <v>79</v>
      </c>
      <c r="G124" s="65">
        <f>(Source!AF57+Source!AE57)*Source!FX57/100</f>
        <v>1299.7948999999999</v>
      </c>
      <c r="H124" s="66">
        <f>Source!X57</f>
        <v>1681.73</v>
      </c>
    </row>
    <row r="125" spans="1:28" x14ac:dyDescent="0.2">
      <c r="C125" s="11" t="s">
        <v>419</v>
      </c>
      <c r="D125" s="41"/>
      <c r="E125" s="41"/>
      <c r="F125" s="41">
        <f>Source!CA57</f>
        <v>50</v>
      </c>
      <c r="G125" s="65">
        <f>(Source!AF57+Source!AE57)*Source!FY57/100</f>
        <v>822.65499999999997</v>
      </c>
      <c r="H125" s="66">
        <f>Source!Y57</f>
        <v>1064.3900000000001</v>
      </c>
    </row>
    <row r="126" spans="1:28" x14ac:dyDescent="0.2">
      <c r="C126" s="11" t="s">
        <v>421</v>
      </c>
      <c r="D126" s="41"/>
      <c r="E126" s="41"/>
      <c r="F126" s="41"/>
      <c r="G126" s="65">
        <f>((Source!AF57+Source!AE57)*Source!FX57/100)+((Source!AF57+Source!AE57)*Source!FY57/100)+Source!AB57</f>
        <v>4909.2199000000001</v>
      </c>
      <c r="H126" s="66">
        <f>Source!O57+Source!X57+Source!Y57</f>
        <v>6351.76</v>
      </c>
    </row>
    <row r="127" spans="1:28" ht="14.25" x14ac:dyDescent="0.2">
      <c r="A127" s="54">
        <v>18</v>
      </c>
      <c r="B127" s="54" t="str">
        <f>Source!E59</f>
        <v>7,1</v>
      </c>
      <c r="C127" s="54" t="str">
        <f>Source!G59</f>
        <v>Строительный мусор</v>
      </c>
      <c r="D127" s="54" t="str">
        <f>Source!F59</f>
        <v>01.7.07.07</v>
      </c>
      <c r="E127" s="37" t="str">
        <f>Source!H59</f>
        <v>т</v>
      </c>
      <c r="F127" s="14">
        <f>Source!I59</f>
        <v>1.0454399999999999</v>
      </c>
      <c r="G127" s="26">
        <f>Source!AB59</f>
        <v>0</v>
      </c>
      <c r="H127" s="27">
        <f>Source!O59</f>
        <v>0</v>
      </c>
      <c r="T127">
        <f>Source!O59+Source!X59+Source!Y59</f>
        <v>0</v>
      </c>
      <c r="U127">
        <f>Source!P59</f>
        <v>0</v>
      </c>
      <c r="V127">
        <f>Source!S59</f>
        <v>0</v>
      </c>
      <c r="W127">
        <f>Source!Q59</f>
        <v>0</v>
      </c>
      <c r="X127">
        <f>Source!R59</f>
        <v>0</v>
      </c>
      <c r="Y127">
        <f>Source!U59</f>
        <v>0</v>
      </c>
      <c r="Z127">
        <f>Source!V59</f>
        <v>0</v>
      </c>
      <c r="AA127">
        <f>Source!X59</f>
        <v>0</v>
      </c>
      <c r="AB127">
        <f>Source!Y59</f>
        <v>0</v>
      </c>
    </row>
    <row r="128" spans="1:28" ht="14.25" x14ac:dyDescent="0.2">
      <c r="C128" s="28" t="s">
        <v>415</v>
      </c>
      <c r="D128" s="28">
        <f>Source!BC59</f>
        <v>5.99</v>
      </c>
      <c r="F128" s="14"/>
      <c r="G128" s="14"/>
      <c r="H128" s="14"/>
    </row>
    <row r="129" spans="1:28" ht="42.75" x14ac:dyDescent="0.2">
      <c r="A129" s="54">
        <v>19</v>
      </c>
      <c r="B129" s="54" t="str">
        <f>Source!E61</f>
        <v>8</v>
      </c>
      <c r="C129" s="54" t="str">
        <f>Source!G61</f>
        <v>Окраска фасадов с лесов с подготовкой поверхности перхлорвиниловая</v>
      </c>
      <c r="D129" s="54" t="str">
        <f>Source!F61</f>
        <v>15-04-012-01</v>
      </c>
      <c r="E129" s="37" t="str">
        <f>Source!H61</f>
        <v>100 м2</v>
      </c>
      <c r="F129" s="14">
        <f>Source!I61</f>
        <v>0.216</v>
      </c>
      <c r="G129" s="26">
        <f>Source!AB61</f>
        <v>685.42</v>
      </c>
      <c r="H129" s="27">
        <f>Source!O61</f>
        <v>886.82</v>
      </c>
      <c r="T129">
        <f>Source!O61+Source!X61+Source!Y61</f>
        <v>1129.17</v>
      </c>
      <c r="U129">
        <f>Source!P61</f>
        <v>707.21</v>
      </c>
      <c r="V129">
        <f>Source!S61</f>
        <v>168.87</v>
      </c>
      <c r="W129">
        <f>Source!Q61</f>
        <v>10.74</v>
      </c>
      <c r="X129">
        <f>Source!R61</f>
        <v>1.8</v>
      </c>
      <c r="Y129">
        <f>Source!U61</f>
        <v>3.1082399999999999</v>
      </c>
      <c r="Z129">
        <f>Source!V61</f>
        <v>2.5919999999999999E-2</v>
      </c>
      <c r="AA129">
        <f>Source!X61</f>
        <v>162.13999999999999</v>
      </c>
      <c r="AB129">
        <f>Source!Y61</f>
        <v>80.209999999999994</v>
      </c>
    </row>
    <row r="130" spans="1:28" ht="14.25" x14ac:dyDescent="0.2">
      <c r="C130" s="28" t="str">
        <f>"Объем: "&amp;Source!I61&amp;"=21,6/"&amp;"100"</f>
        <v>Объем: 0,216=21,6/100</v>
      </c>
      <c r="F130" s="14"/>
      <c r="G130" s="14"/>
      <c r="H130" s="14"/>
    </row>
    <row r="131" spans="1:28" x14ac:dyDescent="0.2">
      <c r="C131" s="28" t="s">
        <v>413</v>
      </c>
      <c r="D131" s="28">
        <f>Source!BA61</f>
        <v>5.99</v>
      </c>
    </row>
    <row r="132" spans="1:28" x14ac:dyDescent="0.2">
      <c r="C132" s="28" t="s">
        <v>414</v>
      </c>
      <c r="D132" s="28">
        <f>Source!BB61</f>
        <v>5.99</v>
      </c>
    </row>
    <row r="133" spans="1:28" x14ac:dyDescent="0.2">
      <c r="C133" s="28" t="s">
        <v>415</v>
      </c>
      <c r="D133" s="28">
        <f>Source!BC61</f>
        <v>5.99</v>
      </c>
    </row>
    <row r="134" spans="1:28" x14ac:dyDescent="0.2">
      <c r="C134" s="28" t="s">
        <v>416</v>
      </c>
      <c r="D134" s="28">
        <f>Source!BS61</f>
        <v>5.99</v>
      </c>
    </row>
    <row r="135" spans="1:28" x14ac:dyDescent="0.2">
      <c r="C135" s="11" t="s">
        <v>417</v>
      </c>
      <c r="D135" s="41"/>
      <c r="E135" s="41"/>
      <c r="F135" s="41">
        <f>Source!BZ61</f>
        <v>105</v>
      </c>
      <c r="G135" s="65">
        <f>(Source!AF61+Source!AE61)*Source!FX61/100</f>
        <v>124.65494999999999</v>
      </c>
      <c r="H135" s="66">
        <f>Source!X61</f>
        <v>162.13999999999999</v>
      </c>
    </row>
    <row r="136" spans="1:28" x14ac:dyDescent="0.2">
      <c r="C136" s="11" t="s">
        <v>418</v>
      </c>
      <c r="D136" s="41"/>
      <c r="E136" s="41"/>
      <c r="F136" s="41"/>
      <c r="G136" s="41" t="str">
        <f>CONCATENATE(Source!DL61,Source!FT61, "=", Source!FX61, "%")</f>
        <v>*0,9=94,5%</v>
      </c>
      <c r="H136" s="41" t="str">
        <f>CONCATENATE(Source!AT61)</f>
        <v>95</v>
      </c>
    </row>
    <row r="137" spans="1:28" x14ac:dyDescent="0.2">
      <c r="C137" s="11" t="s">
        <v>419</v>
      </c>
      <c r="D137" s="41"/>
      <c r="E137" s="41"/>
      <c r="F137" s="41">
        <f>Source!CA61</f>
        <v>55</v>
      </c>
      <c r="G137" s="65">
        <f>(Source!AF61+Source!AE61)*Source!FY61/100</f>
        <v>61.667924999999997</v>
      </c>
      <c r="H137" s="66">
        <f>Source!Y61</f>
        <v>80.209999999999994</v>
      </c>
    </row>
    <row r="138" spans="1:28" x14ac:dyDescent="0.2">
      <c r="C138" s="11" t="s">
        <v>420</v>
      </c>
      <c r="D138" s="41"/>
      <c r="E138" s="41"/>
      <c r="F138" s="41"/>
      <c r="G138" s="41" t="str">
        <f>CONCATENATE(Source!DM61,Source!FU61, "=", Source!FY61, "%")</f>
        <v>*0,85=46,75%</v>
      </c>
      <c r="H138" s="41" t="str">
        <f>CONCATENATE(Source!AU61)</f>
        <v>47</v>
      </c>
    </row>
    <row r="139" spans="1:28" x14ac:dyDescent="0.2">
      <c r="C139" s="11" t="s">
        <v>421</v>
      </c>
      <c r="D139" s="41"/>
      <c r="E139" s="41"/>
      <c r="F139" s="41"/>
      <c r="G139" s="65">
        <f>((Source!AF61+Source!AE61)*Source!FX61/100)+((Source!AF61+Source!AE61)*Source!FY61/100)+Source!AB61</f>
        <v>871.74287499999991</v>
      </c>
      <c r="H139" s="66">
        <f>Source!O61+Source!X61+Source!Y61</f>
        <v>1129.17</v>
      </c>
    </row>
    <row r="140" spans="1:28" ht="14.25" x14ac:dyDescent="0.2">
      <c r="A140" s="54">
        <v>20</v>
      </c>
      <c r="B140" s="54" t="str">
        <f>Source!E63</f>
        <v>8,1</v>
      </c>
      <c r="C140" s="54" t="str">
        <f>Source!G63</f>
        <v>Краски перхлорвиниловые</v>
      </c>
      <c r="D140" s="54" t="str">
        <f>Source!F63</f>
        <v>14.4.02.07</v>
      </c>
      <c r="E140" s="37" t="str">
        <f>Source!H63</f>
        <v>т</v>
      </c>
      <c r="F140" s="14">
        <f>Source!I63</f>
        <v>1.2744E-2</v>
      </c>
      <c r="G140" s="26">
        <f>Source!AB63</f>
        <v>0</v>
      </c>
      <c r="H140" s="27">
        <f>Source!O63</f>
        <v>0</v>
      </c>
      <c r="T140">
        <f>Source!O63+Source!X63+Source!Y63</f>
        <v>0</v>
      </c>
      <c r="U140">
        <f>Source!P63</f>
        <v>0</v>
      </c>
      <c r="V140">
        <f>Source!S63</f>
        <v>0</v>
      </c>
      <c r="W140">
        <f>Source!Q63</f>
        <v>0</v>
      </c>
      <c r="X140">
        <f>Source!R63</f>
        <v>0</v>
      </c>
      <c r="Y140">
        <f>Source!U63</f>
        <v>0</v>
      </c>
      <c r="Z140">
        <f>Source!V63</f>
        <v>0</v>
      </c>
      <c r="AA140">
        <f>Source!X63</f>
        <v>0</v>
      </c>
      <c r="AB140">
        <f>Source!Y63</f>
        <v>0</v>
      </c>
    </row>
    <row r="141" spans="1:28" ht="14.25" x14ac:dyDescent="0.2">
      <c r="C141" s="28" t="s">
        <v>415</v>
      </c>
      <c r="D141" s="28">
        <f>Source!BC63</f>
        <v>5.99</v>
      </c>
      <c r="F141" s="14"/>
      <c r="G141" s="14"/>
      <c r="H141" s="14"/>
    </row>
    <row r="142" spans="1:28" ht="28.5" x14ac:dyDescent="0.2">
      <c r="A142" s="54">
        <v>21</v>
      </c>
      <c r="B142" s="54" t="str">
        <f>Source!E65</f>
        <v>8,2</v>
      </c>
      <c r="C142" s="54" t="str">
        <f>Source!G65</f>
        <v>Краска ХВ-161 перхлорвиниловая фасадная марок А, Б</v>
      </c>
      <c r="D142" s="54" t="str">
        <f>Source!F65</f>
        <v>14.4.02.07-0002</v>
      </c>
      <c r="E142" s="37" t="str">
        <f>Source!H65</f>
        <v>т</v>
      </c>
      <c r="F142" s="14">
        <f>Source!I65</f>
        <v>1.2744999999999999E-2</v>
      </c>
      <c r="G142" s="26">
        <f>Source!AB65</f>
        <v>15989</v>
      </c>
      <c r="H142" s="27">
        <f>Source!O65</f>
        <v>1220.6400000000001</v>
      </c>
      <c r="T142">
        <f>Source!O65+Source!X65+Source!Y65</f>
        <v>1220.6400000000001</v>
      </c>
      <c r="U142">
        <f>Source!P65</f>
        <v>1220.6400000000001</v>
      </c>
      <c r="V142">
        <f>Source!S65</f>
        <v>0</v>
      </c>
      <c r="W142">
        <f>Source!Q65</f>
        <v>0</v>
      </c>
      <c r="X142">
        <f>Source!R65</f>
        <v>0</v>
      </c>
      <c r="Y142">
        <f>Source!U65</f>
        <v>0</v>
      </c>
      <c r="Z142">
        <f>Source!V65</f>
        <v>0</v>
      </c>
      <c r="AA142">
        <f>Source!X65</f>
        <v>0</v>
      </c>
      <c r="AB142">
        <f>Source!Y65</f>
        <v>0</v>
      </c>
    </row>
    <row r="143" spans="1:28" ht="14.25" x14ac:dyDescent="0.2">
      <c r="C143" s="28" t="s">
        <v>415</v>
      </c>
      <c r="D143" s="28">
        <f>Source!BC65</f>
        <v>5.99</v>
      </c>
      <c r="F143" s="14"/>
      <c r="G143" s="14"/>
      <c r="H143" s="14"/>
    </row>
    <row r="144" spans="1:28" ht="42.75" x14ac:dyDescent="0.2">
      <c r="A144" s="54">
        <v>22</v>
      </c>
      <c r="B144" s="54" t="str">
        <f>Source!E67</f>
        <v>9</v>
      </c>
      <c r="C144" s="54" t="str">
        <f>Source!G67</f>
        <v>Погрузочные работы при автомобильных перевозках мусора строительного с погрузкой вручную</v>
      </c>
      <c r="D144" s="54" t="str">
        <f>Source!F67</f>
        <v>т01-01-01-041</v>
      </c>
      <c r="E144" s="37" t="str">
        <f>Source!H67</f>
        <v>1 Т ГРУЗА</v>
      </c>
      <c r="F144" s="14">
        <f>Source!I67</f>
        <v>3.1</v>
      </c>
      <c r="G144" s="26">
        <f>Source!AB67</f>
        <v>42.98</v>
      </c>
      <c r="H144" s="27">
        <f>Source!GM67</f>
        <v>798.1</v>
      </c>
      <c r="T144">
        <f>Source!GM67</f>
        <v>798.1</v>
      </c>
      <c r="U144">
        <f>Source!P67</f>
        <v>0</v>
      </c>
      <c r="V144">
        <f>Source!S67</f>
        <v>0</v>
      </c>
      <c r="W144">
        <f>Source!Q67</f>
        <v>0</v>
      </c>
      <c r="X144">
        <f>Source!R67</f>
        <v>0</v>
      </c>
      <c r="Y144">
        <f>Source!U67</f>
        <v>0</v>
      </c>
      <c r="Z144">
        <f>Source!V67</f>
        <v>0</v>
      </c>
      <c r="AA144">
        <f>Source!X67</f>
        <v>0</v>
      </c>
      <c r="AB144">
        <f>Source!Y67</f>
        <v>0</v>
      </c>
    </row>
    <row r="145" spans="1:33" ht="14.25" x14ac:dyDescent="0.2">
      <c r="C145" s="28" t="s">
        <v>422</v>
      </c>
      <c r="D145" s="28">
        <f>Source!AZ67</f>
        <v>5.99</v>
      </c>
      <c r="F145" s="14"/>
      <c r="G145" s="14"/>
      <c r="H145" s="14"/>
    </row>
    <row r="146" spans="1:33" ht="57" x14ac:dyDescent="0.2">
      <c r="A146" s="54">
        <v>23</v>
      </c>
      <c r="B146" s="54" t="str">
        <f>Source!E69</f>
        <v>10</v>
      </c>
      <c r="C146" s="54" t="str">
        <f>Source!G69</f>
        <v>Перевозка грузов I класса автомобилями-самосвалами грузоподъемностью 10 т работающих вне карьера на расстояние до 15 км</v>
      </c>
      <c r="D146" s="54" t="str">
        <f>Source!F69</f>
        <v>т03-21-01-015</v>
      </c>
      <c r="E146" s="37" t="str">
        <f>Source!H69</f>
        <v>1 Т ГРУЗА</v>
      </c>
      <c r="F146" s="14">
        <f>Source!I69</f>
        <v>3.1</v>
      </c>
      <c r="G146" s="26">
        <f>Source!AB69</f>
        <v>13.38</v>
      </c>
      <c r="H146" s="27">
        <f>Source!GM69</f>
        <v>248.45</v>
      </c>
      <c r="T146">
        <f>Source!GM69</f>
        <v>248.45</v>
      </c>
      <c r="U146">
        <f>Source!P69</f>
        <v>0</v>
      </c>
      <c r="V146">
        <f>Source!S69</f>
        <v>0</v>
      </c>
      <c r="W146">
        <f>Source!Q69</f>
        <v>0</v>
      </c>
      <c r="X146">
        <f>Source!R69</f>
        <v>0</v>
      </c>
      <c r="Y146">
        <f>Source!U69</f>
        <v>0</v>
      </c>
      <c r="Z146">
        <f>Source!V69</f>
        <v>0</v>
      </c>
      <c r="AA146">
        <f>Source!X69</f>
        <v>0</v>
      </c>
      <c r="AB146">
        <f>Source!Y69</f>
        <v>0</v>
      </c>
    </row>
    <row r="147" spans="1:33" ht="14.25" x14ac:dyDescent="0.2">
      <c r="C147" s="28" t="s">
        <v>422</v>
      </c>
      <c r="D147" s="28">
        <f>Source!AZ69</f>
        <v>5.99</v>
      </c>
      <c r="F147" s="14"/>
      <c r="G147" s="14"/>
      <c r="H147" s="14"/>
    </row>
    <row r="149" spans="1:33" ht="15" x14ac:dyDescent="0.25">
      <c r="A149" s="67"/>
      <c r="B149" s="67"/>
      <c r="C149" s="109" t="str">
        <f>CONCATENATE("Итого по локальной смете: ",IF(Source!G71&lt;&gt;"Новая локальная смета", Source!G71, ""))</f>
        <v xml:space="preserve">Итого по локальной смете: </v>
      </c>
      <c r="D149" s="109"/>
      <c r="E149" s="109"/>
      <c r="F149" s="109"/>
      <c r="G149" s="67"/>
      <c r="H149" s="68">
        <f>IF(SUM(T37:T148)=0, "-", SUM(T37:T148))</f>
        <v>1434866.65</v>
      </c>
    </row>
    <row r="150" spans="1:33" ht="15" x14ac:dyDescent="0.25">
      <c r="A150" s="67"/>
      <c r="B150" s="67"/>
      <c r="C150" s="67"/>
      <c r="D150" s="67"/>
      <c r="E150" s="67"/>
      <c r="F150" s="67"/>
      <c r="G150" s="67"/>
      <c r="H150" s="67"/>
    </row>
    <row r="152" spans="1:33" ht="14.25" x14ac:dyDescent="0.2">
      <c r="C152" s="133" t="str">
        <f>Source!H104</f>
        <v>Итого</v>
      </c>
      <c r="D152" s="133"/>
      <c r="E152" s="133"/>
      <c r="F152" s="133"/>
      <c r="G152" s="101">
        <f>IF(Source!P104=0, "", Source!P104)</f>
        <v>1433820.1</v>
      </c>
      <c r="H152" s="101"/>
    </row>
    <row r="153" spans="1:33" ht="14.25" x14ac:dyDescent="0.2">
      <c r="C153" s="133" t="str">
        <f>Source!H105</f>
        <v>НДС 18%</v>
      </c>
      <c r="D153" s="133"/>
      <c r="E153" s="133"/>
      <c r="F153" s="133"/>
      <c r="G153" s="101">
        <f>IF(Source!P105=0, "", Source!P105)</f>
        <v>258087.62</v>
      </c>
      <c r="H153" s="101"/>
    </row>
    <row r="154" spans="1:33" ht="14.25" x14ac:dyDescent="0.2">
      <c r="C154" s="133" t="str">
        <f>Source!H106</f>
        <v>Всего</v>
      </c>
      <c r="D154" s="133"/>
      <c r="E154" s="133"/>
      <c r="F154" s="133"/>
      <c r="G154" s="101">
        <f>IF(Source!P106=0, "", Source!P106)</f>
        <v>1691907.72</v>
      </c>
      <c r="H154" s="101"/>
    </row>
    <row r="156" spans="1:33" ht="30" x14ac:dyDescent="0.25">
      <c r="A156" s="67"/>
      <c r="B156" s="67"/>
      <c r="C156" s="109" t="str">
        <f>CONCATENATE("Итого по смете: ",IF(Source!G108&lt;&gt;"Новый объект", Source!G108, ""))</f>
        <v>Итого по смете: Капитальный ремонт окооных проемов в библиотекеучебного корпуса ДИТИ НИЯУ МИФИ_</v>
      </c>
      <c r="D156" s="109"/>
      <c r="E156" s="109"/>
      <c r="F156" s="109"/>
      <c r="G156" s="67"/>
      <c r="H156" s="68">
        <f>IF(SUM(T1:T155)=0, "-", SUM(T1:T155))</f>
        <v>1434866.65</v>
      </c>
      <c r="AG156" s="69" t="str">
        <f>CONCATENATE("Итого по смете: ",IF(Source!G108&lt;&gt;"Новый объект", Source!G108, ""))</f>
        <v>Итого по смете: Капитальный ремонт окооных проемов в библиотекеучебного корпуса ДИТИ НИЯУ МИФИ_</v>
      </c>
    </row>
    <row r="157" spans="1:33" ht="15" x14ac:dyDescent="0.25">
      <c r="A157" s="67"/>
      <c r="B157" s="67"/>
      <c r="C157" s="67"/>
      <c r="D157" s="67"/>
      <c r="E157" s="67"/>
      <c r="F157" s="67"/>
      <c r="G157" s="67"/>
      <c r="H157" s="67"/>
    </row>
    <row r="158" spans="1:33" ht="14.25" x14ac:dyDescent="0.2">
      <c r="C158" s="133" t="str">
        <f>Source!H141</f>
        <v>Итого</v>
      </c>
      <c r="D158" s="133"/>
      <c r="E158" s="133"/>
      <c r="F158" s="133"/>
      <c r="G158" s="101">
        <f>IF(Source!P141=0, "", Source!P141)</f>
        <v>1433820.1</v>
      </c>
      <c r="H158" s="101"/>
    </row>
    <row r="159" spans="1:33" ht="14.25" x14ac:dyDescent="0.2">
      <c r="C159" s="133" t="str">
        <f>Source!H142</f>
        <v>НДС 18%</v>
      </c>
      <c r="D159" s="133"/>
      <c r="E159" s="133"/>
      <c r="F159" s="133"/>
      <c r="G159" s="101">
        <f>IF(Source!P142=0, "", Source!P142)</f>
        <v>258087.62</v>
      </c>
      <c r="H159" s="101"/>
    </row>
    <row r="160" spans="1:33" ht="14.25" x14ac:dyDescent="0.2">
      <c r="C160" s="133" t="str">
        <f>Source!H143</f>
        <v>Всего</v>
      </c>
      <c r="D160" s="133"/>
      <c r="E160" s="133"/>
      <c r="F160" s="133"/>
      <c r="G160" s="101">
        <f>IF(Source!P143=0, "", Source!P143)</f>
        <v>1691907.72</v>
      </c>
      <c r="H160" s="101"/>
    </row>
    <row r="163" spans="1:12" ht="15" thickBot="1" x14ac:dyDescent="0.25">
      <c r="A163" s="136" t="s">
        <v>423</v>
      </c>
      <c r="B163" s="136"/>
      <c r="C163" s="70" t="str">
        <f>IF(Source!AC12&lt;&gt;"", Source!AC12," ")</f>
        <v xml:space="preserve"> </v>
      </c>
      <c r="D163" s="14"/>
      <c r="E163" s="71"/>
      <c r="F163" s="14"/>
      <c r="G163" s="137" t="str">
        <f>IF(Source!AB12&lt;&gt;"", Source!AB12," ")</f>
        <v xml:space="preserve"> </v>
      </c>
      <c r="H163" s="137"/>
      <c r="I163" s="14"/>
      <c r="J163" s="14"/>
      <c r="K163" s="14"/>
      <c r="L163" s="14"/>
    </row>
    <row r="164" spans="1:12" ht="14.25" x14ac:dyDescent="0.2">
      <c r="A164" s="14"/>
      <c r="B164" s="14"/>
      <c r="C164" s="72" t="s">
        <v>424</v>
      </c>
      <c r="D164" s="14"/>
      <c r="E164" s="72" t="s">
        <v>425</v>
      </c>
      <c r="F164" s="14"/>
      <c r="G164" s="135" t="s">
        <v>426</v>
      </c>
      <c r="H164" s="135"/>
      <c r="I164" s="14"/>
      <c r="J164" s="14"/>
      <c r="K164" s="14"/>
      <c r="L164" s="14"/>
    </row>
    <row r="165" spans="1:12" ht="14.25" x14ac:dyDescent="0.2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</row>
    <row r="166" spans="1:12" ht="14.25" x14ac:dyDescent="0.2">
      <c r="A166" s="14"/>
      <c r="B166" s="14"/>
      <c r="C166" s="16" t="s">
        <v>427</v>
      </c>
      <c r="D166" s="14"/>
      <c r="E166" s="14"/>
      <c r="F166" s="14"/>
      <c r="G166" s="14"/>
      <c r="H166" s="14"/>
      <c r="I166" s="14"/>
      <c r="J166" s="14"/>
      <c r="K166" s="14"/>
      <c r="L166" s="14"/>
    </row>
    <row r="167" spans="1:12" ht="14.25" x14ac:dyDescent="0.2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</row>
    <row r="168" spans="1:12" ht="15" thickBot="1" x14ac:dyDescent="0.25">
      <c r="A168" s="136" t="s">
        <v>428</v>
      </c>
      <c r="B168" s="136"/>
      <c r="C168" s="70" t="str">
        <f>IF(Source!AG12&lt;&gt;"", Source!AG12," ")</f>
        <v xml:space="preserve"> </v>
      </c>
      <c r="D168" s="14"/>
      <c r="E168" s="71"/>
      <c r="F168" s="14"/>
      <c r="G168" s="137" t="str">
        <f>IF(Source!AF12&lt;&gt;"", Source!AF12," ")</f>
        <v xml:space="preserve"> </v>
      </c>
      <c r="H168" s="137"/>
      <c r="I168" s="14"/>
      <c r="J168" s="14"/>
      <c r="K168" s="14"/>
      <c r="L168" s="14"/>
    </row>
    <row r="169" spans="1:12" ht="14.25" x14ac:dyDescent="0.2">
      <c r="A169" s="14"/>
      <c r="B169" s="14"/>
      <c r="C169" s="72" t="s">
        <v>424</v>
      </c>
      <c r="D169" s="14"/>
      <c r="E169" s="72" t="s">
        <v>425</v>
      </c>
      <c r="F169" s="14"/>
      <c r="G169" s="135" t="s">
        <v>426</v>
      </c>
      <c r="H169" s="135"/>
      <c r="I169" s="14"/>
      <c r="J169" s="14"/>
      <c r="K169" s="14"/>
      <c r="L169" s="14"/>
    </row>
    <row r="170" spans="1:12" ht="14.25" x14ac:dyDescent="0.2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</row>
    <row r="171" spans="1:12" ht="14.25" x14ac:dyDescent="0.2">
      <c r="A171" s="14"/>
      <c r="B171" s="14"/>
      <c r="C171" s="16" t="s">
        <v>427</v>
      </c>
      <c r="D171" s="14"/>
      <c r="E171" s="14"/>
      <c r="F171" s="14"/>
      <c r="G171" s="14"/>
      <c r="H171" s="14"/>
      <c r="I171" s="14"/>
      <c r="J171" s="14"/>
      <c r="K171" s="14"/>
      <c r="L171" s="14"/>
    </row>
  </sheetData>
  <mergeCells count="58">
    <mergeCell ref="G169:H169"/>
    <mergeCell ref="C160:F160"/>
    <mergeCell ref="G160:H160"/>
    <mergeCell ref="A163:B163"/>
    <mergeCell ref="G163:H163"/>
    <mergeCell ref="G164:H164"/>
    <mergeCell ref="A168:B168"/>
    <mergeCell ref="G168:H168"/>
    <mergeCell ref="C159:F159"/>
    <mergeCell ref="G159:H159"/>
    <mergeCell ref="A37:H37"/>
    <mergeCell ref="C149:F149"/>
    <mergeCell ref="C152:F152"/>
    <mergeCell ref="G152:H152"/>
    <mergeCell ref="C153:F153"/>
    <mergeCell ref="G153:H153"/>
    <mergeCell ref="C154:F154"/>
    <mergeCell ref="G154:H154"/>
    <mergeCell ref="C156:F156"/>
    <mergeCell ref="C158:F158"/>
    <mergeCell ref="G158:H158"/>
    <mergeCell ref="F31:G31"/>
    <mergeCell ref="A33:B33"/>
    <mergeCell ref="C33:C34"/>
    <mergeCell ref="D33:D34"/>
    <mergeCell ref="E33:E34"/>
    <mergeCell ref="F33:H33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G8:H9"/>
    <mergeCell ref="C9:E9"/>
    <mergeCell ref="E2:H2"/>
    <mergeCell ref="E3:H3"/>
    <mergeCell ref="E4:H4"/>
    <mergeCell ref="G6:H6"/>
    <mergeCell ref="G7:H7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59"/>
  <sheetViews>
    <sheetView zoomScaleNormal="100" workbookViewId="0"/>
  </sheetViews>
  <sheetFormatPr defaultRowHeight="12.75" x14ac:dyDescent="0.2"/>
  <cols>
    <col min="1" max="1" width="6.7109375" customWidth="1"/>
    <col min="2" max="2" width="5.7109375" customWidth="1"/>
    <col min="3" max="3" width="15.7109375" customWidth="1"/>
    <col min="4" max="4" width="40.7109375" customWidth="1"/>
    <col min="5" max="8" width="13.7109375" customWidth="1"/>
    <col min="9" max="9" width="10.7109375" customWidth="1"/>
    <col min="10" max="10" width="13.7109375" customWidth="1"/>
    <col min="15" max="28" width="0" hidden="1" customWidth="1"/>
    <col min="29" max="29" width="97.7109375" hidden="1" customWidth="1"/>
    <col min="30" max="31" width="0" hidden="1" customWidth="1"/>
    <col min="32" max="32" width="95.7109375" hidden="1" customWidth="1"/>
    <col min="33" max="36" width="0" hidden="1" customWidth="1"/>
  </cols>
  <sheetData>
    <row r="1" spans="1:29" x14ac:dyDescent="0.2">
      <c r="A1" s="12" t="str">
        <f>Source!B1</f>
        <v>Smeta.RU  (495) 974-1589</v>
      </c>
    </row>
    <row r="2" spans="1:29" ht="14.25" x14ac:dyDescent="0.2">
      <c r="A2" s="106"/>
      <c r="B2" s="106"/>
      <c r="C2" s="106"/>
      <c r="D2" s="106"/>
      <c r="E2" s="106"/>
      <c r="F2" s="39"/>
      <c r="G2" s="115" t="s">
        <v>374</v>
      </c>
      <c r="H2" s="115"/>
      <c r="I2" s="115"/>
      <c r="J2" s="115"/>
    </row>
    <row r="3" spans="1:29" ht="14.25" x14ac:dyDescent="0.2">
      <c r="A3" s="14"/>
      <c r="B3" s="14"/>
      <c r="C3" s="14"/>
      <c r="D3" s="14"/>
      <c r="E3" s="14"/>
      <c r="F3" s="115" t="s">
        <v>375</v>
      </c>
      <c r="G3" s="115"/>
      <c r="H3" s="115"/>
      <c r="I3" s="115"/>
      <c r="J3" s="115"/>
    </row>
    <row r="4" spans="1:29" ht="14.25" x14ac:dyDescent="0.2">
      <c r="A4" s="14"/>
      <c r="B4" s="14"/>
      <c r="C4" s="14"/>
      <c r="D4" s="14"/>
      <c r="E4" s="14"/>
      <c r="F4" s="39"/>
      <c r="G4" s="115" t="s">
        <v>376</v>
      </c>
      <c r="H4" s="115"/>
      <c r="I4" s="115"/>
      <c r="J4" s="115"/>
    </row>
    <row r="5" spans="1:29" ht="14.25" x14ac:dyDescent="0.2">
      <c r="A5" s="14"/>
      <c r="B5" s="14"/>
      <c r="C5" s="14"/>
      <c r="D5" s="14"/>
      <c r="E5" s="14"/>
      <c r="F5" s="14"/>
      <c r="G5" s="14"/>
      <c r="H5" s="14"/>
      <c r="I5" s="124" t="s">
        <v>377</v>
      </c>
      <c r="J5" s="125"/>
    </row>
    <row r="6" spans="1:29" ht="14.25" x14ac:dyDescent="0.2">
      <c r="A6" s="14"/>
      <c r="B6" s="14"/>
      <c r="C6" s="14"/>
      <c r="D6" s="14"/>
      <c r="E6" s="14"/>
      <c r="F6" s="14"/>
      <c r="G6" s="14"/>
      <c r="H6" s="13" t="s">
        <v>429</v>
      </c>
      <c r="I6" s="138" t="s">
        <v>379</v>
      </c>
      <c r="J6" s="139"/>
    </row>
    <row r="7" spans="1:29" ht="14.25" x14ac:dyDescent="0.2">
      <c r="A7" s="14"/>
      <c r="B7" s="14"/>
      <c r="C7" s="14"/>
      <c r="D7" s="14"/>
      <c r="E7" s="14"/>
      <c r="F7" s="14"/>
      <c r="G7" s="14"/>
      <c r="H7" s="13"/>
      <c r="I7" s="140" t="str">
        <f>IF(Source!AT15 &lt;&gt; "", Source!AT15, "")</f>
        <v/>
      </c>
      <c r="J7" s="141"/>
    </row>
    <row r="8" spans="1:29" ht="14.25" x14ac:dyDescent="0.2">
      <c r="A8" s="14" t="s">
        <v>380</v>
      </c>
      <c r="B8" s="73"/>
      <c r="C8" s="114" t="str">
        <f>IF(Source!BA15 &lt;&gt; "", Source!BA15, IF(Source!AU15 &lt;&gt; "", Source!AU15, ""))</f>
        <v/>
      </c>
      <c r="D8" s="114"/>
      <c r="E8" s="114"/>
      <c r="F8" s="114"/>
      <c r="G8" s="114"/>
      <c r="H8" s="13" t="s">
        <v>430</v>
      </c>
      <c r="I8" s="142"/>
      <c r="J8" s="143"/>
    </row>
    <row r="9" spans="1:29" ht="14.25" x14ac:dyDescent="0.2">
      <c r="A9" s="14"/>
      <c r="B9" s="14"/>
      <c r="C9" s="117" t="s">
        <v>431</v>
      </c>
      <c r="D9" s="117"/>
      <c r="E9" s="117"/>
      <c r="F9" s="117"/>
      <c r="G9" s="117"/>
      <c r="H9" s="14"/>
      <c r="I9" s="124" t="str">
        <f>IF(Source!AK15 &lt;&gt; "", Source!AK15, "")</f>
        <v/>
      </c>
      <c r="J9" s="125"/>
    </row>
    <row r="10" spans="1:29" ht="14.25" x14ac:dyDescent="0.2">
      <c r="A10" s="14" t="s">
        <v>432</v>
      </c>
      <c r="B10" s="14"/>
      <c r="C10" s="18"/>
      <c r="D10" s="114" t="str">
        <f>IF(Source!AX12&lt;&gt; "", Source!AX12, IF(Source!AJ12 &lt;&gt; "", Source!AJ12, ""))</f>
        <v/>
      </c>
      <c r="E10" s="114"/>
      <c r="F10" s="114"/>
      <c r="G10" s="114"/>
      <c r="H10" s="13" t="s">
        <v>430</v>
      </c>
      <c r="I10" s="144"/>
      <c r="J10" s="145"/>
    </row>
    <row r="11" spans="1:29" ht="14.25" x14ac:dyDescent="0.2">
      <c r="A11" s="14"/>
      <c r="B11" s="14"/>
      <c r="C11" s="73"/>
      <c r="D11" s="117" t="s">
        <v>433</v>
      </c>
      <c r="E11" s="117"/>
      <c r="F11" s="117"/>
      <c r="G11" s="117"/>
      <c r="H11" s="13" t="s">
        <v>434</v>
      </c>
      <c r="I11" s="124" t="str">
        <f>IF(Source!AO15 &lt;&gt; "", Source!AO15, "")</f>
        <v/>
      </c>
      <c r="J11" s="125"/>
    </row>
    <row r="12" spans="1:29" ht="14.25" x14ac:dyDescent="0.2">
      <c r="A12" s="14" t="s">
        <v>435</v>
      </c>
      <c r="B12" s="14"/>
      <c r="C12" s="18"/>
      <c r="D12" s="114" t="str">
        <f>IF(Source!AY12&lt;&gt; "", Source!AY12, IF(Source!AN12 &lt;&gt; "", Source!AN12, ""))</f>
        <v/>
      </c>
      <c r="E12" s="114"/>
      <c r="F12" s="114"/>
      <c r="G12" s="114"/>
      <c r="H12" s="13" t="s">
        <v>430</v>
      </c>
      <c r="I12" s="124"/>
      <c r="J12" s="125"/>
    </row>
    <row r="13" spans="1:29" ht="14.25" x14ac:dyDescent="0.2">
      <c r="A13" s="14"/>
      <c r="B13" s="14"/>
      <c r="C13" s="14"/>
      <c r="D13" s="117" t="s">
        <v>436</v>
      </c>
      <c r="E13" s="117"/>
      <c r="F13" s="117"/>
      <c r="G13" s="117"/>
      <c r="H13" s="13" t="s">
        <v>434</v>
      </c>
      <c r="I13" s="110" t="str">
        <f>IF(Source!CO15 &lt;&gt; "", Source!CO15, "")</f>
        <v/>
      </c>
      <c r="J13" s="111"/>
    </row>
    <row r="14" spans="1:29" ht="14.25" x14ac:dyDescent="0.2">
      <c r="A14" s="14" t="s">
        <v>385</v>
      </c>
      <c r="B14" s="73"/>
      <c r="C14" s="114" t="s">
        <v>5</v>
      </c>
      <c r="D14" s="114"/>
      <c r="E14" s="114"/>
      <c r="F14" s="114"/>
      <c r="G14" s="114"/>
      <c r="H14" s="14"/>
      <c r="I14" s="118"/>
      <c r="J14" s="119"/>
      <c r="AC14" s="34" t="s">
        <v>5</v>
      </c>
    </row>
    <row r="15" spans="1:29" ht="14.25" x14ac:dyDescent="0.2">
      <c r="A15" s="14"/>
      <c r="B15" s="14"/>
      <c r="C15" s="117" t="s">
        <v>437</v>
      </c>
      <c r="D15" s="117"/>
      <c r="E15" s="117"/>
      <c r="F15" s="117"/>
      <c r="G15" s="117"/>
      <c r="H15" s="14"/>
      <c r="I15" s="110" t="str">
        <f>IF(Source!CP15 &lt;&gt; "", Source!CP15, "")</f>
        <v/>
      </c>
      <c r="J15" s="111"/>
    </row>
    <row r="16" spans="1:29" ht="14.25" x14ac:dyDescent="0.2">
      <c r="A16" s="14" t="s">
        <v>387</v>
      </c>
      <c r="B16" s="73"/>
      <c r="C16" s="114" t="str">
        <f>IF(Source!G12&lt;&gt;"Новый объект", Source!G12, "")</f>
        <v>Капитальный ремонт окооных проемов в библиотекеучебного корпуса ДИТИ НИЯУ МИФИ_</v>
      </c>
      <c r="D16" s="114"/>
      <c r="E16" s="114"/>
      <c r="F16" s="114"/>
      <c r="G16" s="114"/>
      <c r="H16" s="13" t="s">
        <v>438</v>
      </c>
      <c r="I16" s="118"/>
      <c r="J16" s="119"/>
      <c r="AC16" s="34" t="str">
        <f>IF(Source!G12&lt;&gt;"Новый объект", Source!G12, "")</f>
        <v>Капитальный ремонт окооных проемов в библиотекеучебного корпуса ДИТИ НИЯУ МИФИ_</v>
      </c>
    </row>
    <row r="17" spans="1:10" ht="14.25" x14ac:dyDescent="0.2">
      <c r="A17" s="14"/>
      <c r="B17" s="14"/>
      <c r="C17" s="117" t="s">
        <v>439</v>
      </c>
      <c r="D17" s="117"/>
      <c r="E17" s="117"/>
      <c r="F17" s="103" t="s">
        <v>440</v>
      </c>
      <c r="G17" s="103"/>
      <c r="H17" s="121"/>
      <c r="I17" s="124" t="str">
        <f>IF(Source!CQ15 &lt;&gt; "", Source!CQ15, "")</f>
        <v/>
      </c>
      <c r="J17" s="125"/>
    </row>
    <row r="18" spans="1:10" ht="14.25" x14ac:dyDescent="0.2">
      <c r="A18" s="14"/>
      <c r="B18" s="14"/>
      <c r="C18" s="14"/>
      <c r="D18" s="14"/>
      <c r="E18" s="103" t="s">
        <v>441</v>
      </c>
      <c r="F18" s="103"/>
      <c r="G18" s="121"/>
      <c r="H18" s="59" t="s">
        <v>391</v>
      </c>
      <c r="I18" s="124" t="str">
        <f>IF(Source!CR15 &lt;&gt; "", Source!CR15, "")</f>
        <v/>
      </c>
      <c r="J18" s="125"/>
    </row>
    <row r="19" spans="1:10" ht="14.25" x14ac:dyDescent="0.2">
      <c r="A19" s="14"/>
      <c r="B19" s="14"/>
      <c r="C19" s="14"/>
      <c r="D19" s="14"/>
      <c r="E19" s="14"/>
      <c r="F19" s="14"/>
      <c r="G19" s="14"/>
      <c r="H19" s="24" t="s">
        <v>392</v>
      </c>
      <c r="I19" s="146" t="str">
        <f>IF(Source!CS15 &lt;&gt; 0, Source!CS15, "")</f>
        <v/>
      </c>
      <c r="J19" s="147"/>
    </row>
    <row r="20" spans="1:10" ht="14.25" x14ac:dyDescent="0.2">
      <c r="A20" s="14"/>
      <c r="B20" s="14"/>
      <c r="C20" s="14"/>
      <c r="D20" s="14"/>
      <c r="E20" s="14"/>
      <c r="F20" s="14"/>
      <c r="G20" s="14"/>
      <c r="H20" s="13" t="s">
        <v>442</v>
      </c>
      <c r="I20" s="124" t="str">
        <f>IF(Source!CT15 &lt;&gt; "", Source!CT15, "")</f>
        <v/>
      </c>
      <c r="J20" s="125"/>
    </row>
    <row r="21" spans="1:10" ht="14.25" x14ac:dyDescent="0.2">
      <c r="A21" s="14"/>
      <c r="B21" s="14"/>
      <c r="C21" s="14"/>
      <c r="D21" s="14"/>
      <c r="E21" s="14"/>
      <c r="F21" s="14"/>
      <c r="G21" s="14"/>
      <c r="H21" s="14"/>
      <c r="I21" s="14"/>
      <c r="J21" s="14"/>
    </row>
    <row r="22" spans="1:10" ht="14.25" x14ac:dyDescent="0.2">
      <c r="A22" s="14"/>
      <c r="B22" s="14"/>
      <c r="C22" s="14"/>
      <c r="D22" s="14"/>
      <c r="E22" s="14"/>
      <c r="F22" s="148" t="s">
        <v>394</v>
      </c>
      <c r="G22" s="148" t="s">
        <v>395</v>
      </c>
      <c r="H22" s="150" t="s">
        <v>396</v>
      </c>
      <c r="I22" s="151"/>
      <c r="J22" s="14"/>
    </row>
    <row r="23" spans="1:10" ht="14.25" x14ac:dyDescent="0.2">
      <c r="A23" s="14"/>
      <c r="B23" s="14"/>
      <c r="C23" s="14"/>
      <c r="D23" s="14"/>
      <c r="E23" s="14"/>
      <c r="F23" s="149"/>
      <c r="G23" s="149"/>
      <c r="H23" s="74" t="s">
        <v>397</v>
      </c>
      <c r="I23" s="75" t="s">
        <v>398</v>
      </c>
      <c r="J23" s="14"/>
    </row>
    <row r="24" spans="1:10" ht="14.25" x14ac:dyDescent="0.2">
      <c r="A24" s="14"/>
      <c r="B24" s="14"/>
      <c r="C24" s="14"/>
      <c r="D24" s="14"/>
      <c r="E24" s="14"/>
      <c r="F24" s="76" t="str">
        <f>IF(Source!CN15 &lt;&gt; "", Source!CN15, "")</f>
        <v/>
      </c>
      <c r="G24" s="77">
        <v>43123.631215277775</v>
      </c>
      <c r="H24" s="76"/>
      <c r="I24" s="78"/>
      <c r="J24" s="14"/>
    </row>
    <row r="25" spans="1:10" ht="14.25" x14ac:dyDescent="0.2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0" ht="15" x14ac:dyDescent="0.25">
      <c r="A26" s="154" t="s">
        <v>399</v>
      </c>
      <c r="B26" s="154"/>
      <c r="C26" s="154"/>
      <c r="D26" s="154"/>
      <c r="E26" s="154"/>
      <c r="F26" s="154"/>
      <c r="G26" s="154"/>
      <c r="H26" s="154"/>
      <c r="I26" s="154"/>
      <c r="J26" s="154"/>
    </row>
    <row r="27" spans="1:10" ht="15" x14ac:dyDescent="0.25">
      <c r="A27" s="154" t="s">
        <v>400</v>
      </c>
      <c r="B27" s="154"/>
      <c r="C27" s="154"/>
      <c r="D27" s="154"/>
      <c r="E27" s="154"/>
      <c r="F27" s="154"/>
      <c r="G27" s="154"/>
      <c r="H27" s="154"/>
      <c r="I27" s="154"/>
      <c r="J27" s="154"/>
    </row>
    <row r="28" spans="1:10" ht="14.25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0" ht="14.25" x14ac:dyDescent="0.2">
      <c r="A29" s="106" t="s">
        <v>447</v>
      </c>
      <c r="B29" s="106"/>
      <c r="C29" s="106"/>
      <c r="D29" s="106"/>
      <c r="E29" s="106"/>
      <c r="F29" s="106"/>
      <c r="G29" s="155">
        <f>(Source!F143/1000)</f>
        <v>282.45546000000002</v>
      </c>
      <c r="H29" s="156"/>
      <c r="I29" s="79" t="s">
        <v>349</v>
      </c>
      <c r="J29" s="80"/>
    </row>
    <row r="30" spans="1:10" ht="14.25" x14ac:dyDescent="0.2">
      <c r="A30" s="15" t="s">
        <v>448</v>
      </c>
      <c r="B30" s="16"/>
      <c r="C30" s="16"/>
      <c r="D30" s="16"/>
      <c r="E30" s="16"/>
      <c r="F30" s="16"/>
      <c r="G30" s="155">
        <f>(Source!P143/1000)</f>
        <v>1691.9077199999999</v>
      </c>
      <c r="H30" s="156"/>
      <c r="I30" s="79" t="s">
        <v>349</v>
      </c>
      <c r="J30" s="14"/>
    </row>
    <row r="31" spans="1:10" ht="14.25" x14ac:dyDescent="0.2">
      <c r="A31" s="152" t="s">
        <v>403</v>
      </c>
      <c r="B31" s="153"/>
      <c r="C31" s="148" t="s">
        <v>355</v>
      </c>
      <c r="D31" s="148" t="s">
        <v>356</v>
      </c>
      <c r="E31" s="148" t="s">
        <v>406</v>
      </c>
      <c r="F31" s="132" t="s">
        <v>407</v>
      </c>
      <c r="G31" s="132"/>
      <c r="H31" s="132"/>
      <c r="I31" s="132"/>
      <c r="J31" s="132"/>
    </row>
    <row r="32" spans="1:10" ht="57" x14ac:dyDescent="0.2">
      <c r="A32" s="23" t="s">
        <v>443</v>
      </c>
      <c r="B32" s="23" t="s">
        <v>444</v>
      </c>
      <c r="C32" s="149"/>
      <c r="D32" s="149"/>
      <c r="E32" s="149"/>
      <c r="F32" s="23" t="s">
        <v>410</v>
      </c>
      <c r="G32" s="23" t="s">
        <v>445</v>
      </c>
      <c r="H32" s="23" t="s">
        <v>449</v>
      </c>
      <c r="I32" s="23" t="s">
        <v>446</v>
      </c>
      <c r="J32" s="23" t="s">
        <v>364</v>
      </c>
    </row>
    <row r="33" spans="1:22" ht="14.25" x14ac:dyDescent="0.2">
      <c r="A33" s="81">
        <v>1</v>
      </c>
      <c r="B33" s="81">
        <v>2</v>
      </c>
      <c r="C33" s="81">
        <v>3</v>
      </c>
      <c r="D33" s="81">
        <v>4</v>
      </c>
      <c r="E33" s="81">
        <v>5</v>
      </c>
      <c r="F33" s="81">
        <v>6</v>
      </c>
      <c r="G33" s="81">
        <v>7</v>
      </c>
      <c r="H33" s="81">
        <v>8</v>
      </c>
      <c r="I33" s="81">
        <v>9</v>
      </c>
      <c r="J33" s="81">
        <v>10</v>
      </c>
    </row>
    <row r="35" spans="1:22" ht="16.5" x14ac:dyDescent="0.25">
      <c r="A35" s="134" t="str">
        <f>CONCATENATE("Локальная смета: ",IF(Source!G20&lt;&gt;"Новая локальная смета", Source!G20, ""))</f>
        <v xml:space="preserve">Локальная смета: </v>
      </c>
      <c r="B35" s="134"/>
      <c r="C35" s="134"/>
      <c r="D35" s="134"/>
      <c r="E35" s="134"/>
      <c r="F35" s="134"/>
      <c r="G35" s="134"/>
      <c r="H35" s="134"/>
      <c r="I35" s="134"/>
      <c r="J35" s="134"/>
    </row>
    <row r="36" spans="1:22" ht="42.75" x14ac:dyDescent="0.2">
      <c r="A36" s="53">
        <v>1</v>
      </c>
      <c r="B36" s="53" t="str">
        <f>Source!E24</f>
        <v>1</v>
      </c>
      <c r="C36" s="54" t="str">
        <f>Source!F24</f>
        <v>46-04-012-01</v>
      </c>
      <c r="D36" s="54" t="str">
        <f>Source!G24</f>
        <v>Разборка деревянных заполнений проемов оконных с подоконными досками</v>
      </c>
      <c r="E36" s="37" t="str">
        <f>Source!H24</f>
        <v>100 м2</v>
      </c>
      <c r="F36" s="13">
        <f>Source!I24</f>
        <v>1.0349999999999999</v>
      </c>
      <c r="G36" s="36">
        <f>IF(Source!AK24&lt;&gt; 0, Source!AK24,Source!AL24 + Source!AM24 + Source!AO24)</f>
        <v>1767.24</v>
      </c>
      <c r="H36" s="38"/>
      <c r="I36" s="37" t="str">
        <f>Source!BO25</f>
        <v/>
      </c>
      <c r="J36" s="38"/>
      <c r="S36">
        <f>Source!X24</f>
        <v>1669.96</v>
      </c>
      <c r="T36">
        <f>Source!X25</f>
        <v>10003.02</v>
      </c>
      <c r="U36">
        <f>Source!Y24</f>
        <v>1012.1</v>
      </c>
      <c r="V36">
        <f>Source!Y25</f>
        <v>6062.44</v>
      </c>
    </row>
    <row r="37" spans="1:22" x14ac:dyDescent="0.2">
      <c r="D37" s="28" t="str">
        <f>"Объем: "&amp;Source!I24&amp;"=103,5/"&amp;"100"</f>
        <v>Объем: 1,035=103,5/100</v>
      </c>
    </row>
    <row r="38" spans="1:22" ht="14.25" x14ac:dyDescent="0.2">
      <c r="A38" s="53"/>
      <c r="B38" s="53"/>
      <c r="C38" s="54"/>
      <c r="D38" s="54" t="s">
        <v>450</v>
      </c>
      <c r="E38" s="37"/>
      <c r="F38" s="13"/>
      <c r="G38" s="36">
        <f>Source!AO24</f>
        <v>1525.29</v>
      </c>
      <c r="H38" s="38">
        <f>Source!S24</f>
        <v>1578.68</v>
      </c>
      <c r="I38" s="37">
        <f>IF(Source!BA25&lt;&gt; 0, Source!BA25, 1)</f>
        <v>5.99</v>
      </c>
      <c r="J38" s="38">
        <f>Source!S25</f>
        <v>9456.26</v>
      </c>
      <c r="R38">
        <f>H38</f>
        <v>1578.68</v>
      </c>
    </row>
    <row r="39" spans="1:22" ht="14.25" x14ac:dyDescent="0.2">
      <c r="A39" s="53"/>
      <c r="B39" s="53"/>
      <c r="C39" s="54"/>
      <c r="D39" s="54" t="s">
        <v>144</v>
      </c>
      <c r="E39" s="37"/>
      <c r="F39" s="13"/>
      <c r="G39" s="36">
        <f>Source!AM24</f>
        <v>241.95</v>
      </c>
      <c r="H39" s="38">
        <f>Source!Q24</f>
        <v>250.42</v>
      </c>
      <c r="I39" s="37">
        <f>IF(Source!BB25&lt;&gt; 0, Source!BB25, 1)</f>
        <v>5.99</v>
      </c>
      <c r="J39" s="38">
        <f>Source!Q25</f>
        <v>1500.01</v>
      </c>
    </row>
    <row r="40" spans="1:22" ht="14.25" x14ac:dyDescent="0.2">
      <c r="A40" s="53"/>
      <c r="B40" s="53"/>
      <c r="C40" s="54"/>
      <c r="D40" s="54" t="s">
        <v>367</v>
      </c>
      <c r="E40" s="37"/>
      <c r="F40" s="13"/>
      <c r="G40" s="36">
        <f>Source!AN24</f>
        <v>104.49</v>
      </c>
      <c r="H40" s="40">
        <f>Source!R24</f>
        <v>108.15</v>
      </c>
      <c r="I40" s="37">
        <f>IF(Source!BS25&lt;&gt; 0, Source!BS25, 1)</f>
        <v>5.99</v>
      </c>
      <c r="J40" s="40">
        <f>Source!R25</f>
        <v>647.79999999999995</v>
      </c>
      <c r="R40">
        <f>H40</f>
        <v>108.15</v>
      </c>
    </row>
    <row r="41" spans="1:22" ht="14.25" x14ac:dyDescent="0.2">
      <c r="A41" s="53"/>
      <c r="B41" s="53"/>
      <c r="C41" s="54"/>
      <c r="D41" s="54" t="s">
        <v>368</v>
      </c>
      <c r="E41" s="37" t="s">
        <v>369</v>
      </c>
      <c r="F41" s="13"/>
      <c r="G41" s="36">
        <f>Source!AT24</f>
        <v>99</v>
      </c>
      <c r="H41" s="38">
        <f>SUM(S36:S40)</f>
        <v>1669.96</v>
      </c>
      <c r="I41" s="37"/>
      <c r="J41" s="38">
        <f>SUM(T36:T40)</f>
        <v>10003.02</v>
      </c>
    </row>
    <row r="42" spans="1:22" ht="14.25" x14ac:dyDescent="0.2">
      <c r="A42" s="53"/>
      <c r="B42" s="53"/>
      <c r="C42" s="54"/>
      <c r="D42" s="54" t="s">
        <v>370</v>
      </c>
      <c r="E42" s="37" t="s">
        <v>369</v>
      </c>
      <c r="F42" s="13"/>
      <c r="G42" s="36">
        <f>Source!AU24</f>
        <v>60</v>
      </c>
      <c r="H42" s="38">
        <f>SUM(U36:U41)</f>
        <v>1012.1</v>
      </c>
      <c r="I42" s="37"/>
      <c r="J42" s="38">
        <f>SUM(V36:V41)</f>
        <v>6062.44</v>
      </c>
    </row>
    <row r="43" spans="1:22" ht="14.25" x14ac:dyDescent="0.2">
      <c r="A43" s="55"/>
      <c r="B43" s="55"/>
      <c r="C43" s="56"/>
      <c r="D43" s="56" t="s">
        <v>451</v>
      </c>
      <c r="E43" s="45" t="s">
        <v>372</v>
      </c>
      <c r="F43" s="43">
        <f>Source!AQ24</f>
        <v>188.54</v>
      </c>
      <c r="G43" s="44"/>
      <c r="H43" s="46">
        <f>Source!U25</f>
        <v>195.13889999999998</v>
      </c>
      <c r="I43" s="45"/>
      <c r="J43" s="46"/>
    </row>
    <row r="44" spans="1:22" ht="15" x14ac:dyDescent="0.25">
      <c r="G44" s="108">
        <f xml:space="preserve"> Source!P24+Source!Q24+Source!S24+SUM(H41:H42)</f>
        <v>4511.16</v>
      </c>
      <c r="H44" s="108"/>
      <c r="I44" s="108">
        <f xml:space="preserve"> Source!P25+Source!Q25+Source!S25+SUM(J41:J42)</f>
        <v>27021.73</v>
      </c>
      <c r="J44" s="108"/>
      <c r="O44" s="29">
        <f>G44</f>
        <v>4511.16</v>
      </c>
      <c r="P44" s="29">
        <f>I44</f>
        <v>27021.73</v>
      </c>
    </row>
    <row r="45" spans="1:22" ht="99.75" x14ac:dyDescent="0.2">
      <c r="A45" s="53">
        <v>2</v>
      </c>
      <c r="B45" s="53" t="str">
        <f>Source!E26</f>
        <v>2</v>
      </c>
      <c r="C45" s="54" t="str">
        <f>Source!F26</f>
        <v>10-01-034-08</v>
      </c>
      <c r="D45" s="54" t="str">
        <f>Source!G26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E45" s="37" t="str">
        <f>Source!H26</f>
        <v>100 м2</v>
      </c>
      <c r="F45" s="13">
        <f>Source!I26</f>
        <v>1.0349999999999999</v>
      </c>
      <c r="G45" s="36">
        <f>IF(Source!AK26&lt;&gt; 0, Source!AK26,Source!AL26 + Source!AM26 + Source!AO26)</f>
        <v>10107.89</v>
      </c>
      <c r="H45" s="38"/>
      <c r="I45" s="37" t="str">
        <f>Source!BO27</f>
        <v/>
      </c>
      <c r="J45" s="38"/>
      <c r="S45">
        <f>Source!X26</f>
        <v>1485.45</v>
      </c>
      <c r="T45">
        <f>Source!X27</f>
        <v>8897.86</v>
      </c>
      <c r="U45">
        <f>Source!Y26</f>
        <v>756.74</v>
      </c>
      <c r="V45">
        <f>Source!Y27</f>
        <v>4532.87</v>
      </c>
    </row>
    <row r="46" spans="1:22" x14ac:dyDescent="0.2">
      <c r="D46" s="28" t="str">
        <f>"Объем: "&amp;Source!I26&amp;"=103,5/"&amp;"100"</f>
        <v>Объем: 1,035=103,5/100</v>
      </c>
    </row>
    <row r="47" spans="1:22" ht="14.25" x14ac:dyDescent="0.2">
      <c r="A47" s="53"/>
      <c r="B47" s="53"/>
      <c r="C47" s="54"/>
      <c r="D47" s="54" t="s">
        <v>450</v>
      </c>
      <c r="E47" s="37"/>
      <c r="F47" s="13"/>
      <c r="G47" s="36">
        <f>Source!AO26</f>
        <v>1303.6600000000001</v>
      </c>
      <c r="H47" s="38">
        <f>Source!S26</f>
        <v>1349.29</v>
      </c>
      <c r="I47" s="37">
        <f>IF(Source!BA27&lt;&gt; 0, Source!BA27, 1)</f>
        <v>5.99</v>
      </c>
      <c r="J47" s="38">
        <f>Source!S27</f>
        <v>8082.24</v>
      </c>
      <c r="R47">
        <f>H47</f>
        <v>1349.29</v>
      </c>
    </row>
    <row r="48" spans="1:22" ht="14.25" x14ac:dyDescent="0.2">
      <c r="A48" s="53"/>
      <c r="B48" s="53"/>
      <c r="C48" s="54"/>
      <c r="D48" s="54" t="s">
        <v>144</v>
      </c>
      <c r="E48" s="37"/>
      <c r="F48" s="13"/>
      <c r="G48" s="36">
        <f>Source!AM26</f>
        <v>255.21</v>
      </c>
      <c r="H48" s="38">
        <f>Source!Q26</f>
        <v>264.14</v>
      </c>
      <c r="I48" s="37">
        <f>IF(Source!BB27&lt;&gt; 0, Source!BB27, 1)</f>
        <v>5.99</v>
      </c>
      <c r="J48" s="38">
        <f>Source!Q27</f>
        <v>1582.21</v>
      </c>
    </row>
    <row r="49" spans="1:22" ht="14.25" x14ac:dyDescent="0.2">
      <c r="A49" s="53"/>
      <c r="B49" s="53"/>
      <c r="C49" s="54"/>
      <c r="D49" s="54" t="s">
        <v>367</v>
      </c>
      <c r="E49" s="37"/>
      <c r="F49" s="13"/>
      <c r="G49" s="36">
        <f>Source!AN26</f>
        <v>50.32</v>
      </c>
      <c r="H49" s="40">
        <f>Source!R26</f>
        <v>52.08</v>
      </c>
      <c r="I49" s="37">
        <f>IF(Source!BS27&lt;&gt; 0, Source!BS27, 1)</f>
        <v>5.99</v>
      </c>
      <c r="J49" s="40">
        <f>Source!R27</f>
        <v>311.97000000000003</v>
      </c>
      <c r="R49">
        <f>H49</f>
        <v>52.08</v>
      </c>
    </row>
    <row r="50" spans="1:22" ht="14.25" x14ac:dyDescent="0.2">
      <c r="A50" s="53"/>
      <c r="B50" s="53"/>
      <c r="C50" s="54"/>
      <c r="D50" s="54" t="s">
        <v>373</v>
      </c>
      <c r="E50" s="37"/>
      <c r="F50" s="13"/>
      <c r="G50" s="36">
        <f>Source!AL26</f>
        <v>8549.02</v>
      </c>
      <c r="H50" s="38">
        <f>Source!P26</f>
        <v>8848.24</v>
      </c>
      <c r="I50" s="37">
        <f>IF(Source!BC27&lt;&gt; 0, Source!BC27, 1)</f>
        <v>5.99</v>
      </c>
      <c r="J50" s="38">
        <f>Source!P27</f>
        <v>53000.93</v>
      </c>
    </row>
    <row r="51" spans="1:22" ht="14.25" x14ac:dyDescent="0.2">
      <c r="A51" s="53">
        <v>3</v>
      </c>
      <c r="B51" s="53" t="str">
        <f>Source!E28</f>
        <v>2,1</v>
      </c>
      <c r="C51" s="54" t="str">
        <f>Source!F28</f>
        <v>11.3.02.03</v>
      </c>
      <c r="D51" s="54" t="str">
        <f>Source!G28</f>
        <v>Блоки оконные пластиковые</v>
      </c>
      <c r="E51" s="37" t="str">
        <f>Source!H28</f>
        <v>м2</v>
      </c>
      <c r="F51" s="13">
        <f>Source!I28</f>
        <v>103.5</v>
      </c>
      <c r="G51" s="36">
        <f>Source!AK28</f>
        <v>0</v>
      </c>
      <c r="H51" s="38">
        <f>Source!O28</f>
        <v>0</v>
      </c>
      <c r="I51" s="37">
        <f>IF(Source!BC29&lt;&gt; 0, Source!BC29, 1)</f>
        <v>5.99</v>
      </c>
      <c r="J51" s="38">
        <f>Source!O29</f>
        <v>0</v>
      </c>
      <c r="S51">
        <f>Source!X28</f>
        <v>0</v>
      </c>
      <c r="T51">
        <f>Source!X29</f>
        <v>0</v>
      </c>
      <c r="U51">
        <f>Source!Y28</f>
        <v>0</v>
      </c>
      <c r="V51">
        <f>Source!Y29</f>
        <v>0</v>
      </c>
    </row>
    <row r="52" spans="1:22" ht="71.25" x14ac:dyDescent="0.2">
      <c r="A52" s="53">
        <v>4</v>
      </c>
      <c r="B52" s="53" t="str">
        <f>Source!E30</f>
        <v>2,2</v>
      </c>
      <c r="C52" s="54" t="str">
        <f>Source!F30</f>
        <v>11.3.02.01-0021</v>
      </c>
      <c r="D52" s="54" t="str">
        <f>Source!G30</f>
        <v>Блок оконный пластиковый  с 6-ю глухими створками остекления, с 2-мя   поворотно-откидными  створками, 5-ти камерным стеклопакетом (42 мм), площадью более 3,5 м2</v>
      </c>
      <c r="E52" s="37" t="str">
        <f>Source!H30</f>
        <v>м2</v>
      </c>
      <c r="F52" s="13">
        <f>Source!I30</f>
        <v>103.5</v>
      </c>
      <c r="G52" s="36">
        <f>Source!AK30</f>
        <v>2074.38</v>
      </c>
      <c r="H52" s="38">
        <f>Source!O30</f>
        <v>214698.33</v>
      </c>
      <c r="I52" s="37">
        <f>IF(Source!BC31&lt;&gt; 0, Source!BC31, 1)</f>
        <v>5.99</v>
      </c>
      <c r="J52" s="38">
        <f>Source!O31</f>
        <v>1286043</v>
      </c>
      <c r="S52">
        <f>Source!X30</f>
        <v>0</v>
      </c>
      <c r="T52">
        <f>Source!X31</f>
        <v>0</v>
      </c>
      <c r="U52">
        <f>Source!Y30</f>
        <v>0</v>
      </c>
      <c r="V52">
        <f>Source!Y31</f>
        <v>0</v>
      </c>
    </row>
    <row r="53" spans="1:22" ht="14.25" x14ac:dyDescent="0.2">
      <c r="A53" s="53"/>
      <c r="B53" s="53"/>
      <c r="C53" s="54"/>
      <c r="D53" s="54" t="s">
        <v>368</v>
      </c>
      <c r="E53" s="37" t="s">
        <v>369</v>
      </c>
      <c r="F53" s="13"/>
      <c r="G53" s="36">
        <f>Source!AT26</f>
        <v>106</v>
      </c>
      <c r="H53" s="38">
        <f>SUM(S45:S52)</f>
        <v>1485.45</v>
      </c>
      <c r="I53" s="37"/>
      <c r="J53" s="38">
        <f>SUM(T45:T52)</f>
        <v>8897.86</v>
      </c>
    </row>
    <row r="54" spans="1:22" ht="14.25" x14ac:dyDescent="0.2">
      <c r="A54" s="53"/>
      <c r="B54" s="53"/>
      <c r="C54" s="54"/>
      <c r="D54" s="54" t="s">
        <v>370</v>
      </c>
      <c r="E54" s="37" t="s">
        <v>369</v>
      </c>
      <c r="F54" s="13"/>
      <c r="G54" s="36">
        <f>Source!AU26</f>
        <v>54</v>
      </c>
      <c r="H54" s="38">
        <f>SUM(U45:U53)</f>
        <v>756.74</v>
      </c>
      <c r="I54" s="37"/>
      <c r="J54" s="38">
        <f>SUM(V45:V53)</f>
        <v>4532.87</v>
      </c>
    </row>
    <row r="55" spans="1:22" ht="14.25" x14ac:dyDescent="0.2">
      <c r="A55" s="55"/>
      <c r="B55" s="55"/>
      <c r="C55" s="56"/>
      <c r="D55" s="56" t="s">
        <v>451</v>
      </c>
      <c r="E55" s="45" t="s">
        <v>372</v>
      </c>
      <c r="F55" s="43">
        <f>Source!AQ26</f>
        <v>149.16</v>
      </c>
      <c r="G55" s="44"/>
      <c r="H55" s="46">
        <f>Source!U27</f>
        <v>154.38059999999999</v>
      </c>
      <c r="I55" s="45"/>
      <c r="J55" s="46"/>
    </row>
    <row r="56" spans="1:22" ht="15" x14ac:dyDescent="0.25">
      <c r="G56" s="108">
        <f xml:space="preserve"> Source!P26+Source!Q26+Source!S26+SUM(H51:H54)</f>
        <v>227402.19</v>
      </c>
      <c r="H56" s="108"/>
      <c r="I56" s="108">
        <f xml:space="preserve"> Source!P27+Source!Q27+Source!S27+SUM(J51:J54)</f>
        <v>1362139.11</v>
      </c>
      <c r="J56" s="108"/>
      <c r="O56" s="29">
        <f>G56</f>
        <v>227402.19</v>
      </c>
      <c r="P56" s="29">
        <f>I56</f>
        <v>1362139.11</v>
      </c>
    </row>
    <row r="57" spans="1:22" ht="42.75" x14ac:dyDescent="0.2">
      <c r="A57" s="53">
        <v>5</v>
      </c>
      <c r="B57" s="53" t="str">
        <f>Source!E32</f>
        <v>3</v>
      </c>
      <c r="C57" s="54" t="str">
        <f>Source!F32</f>
        <v>10-01-035-03</v>
      </c>
      <c r="D57" s="54" t="str">
        <f>Source!G32</f>
        <v>Установка подоконных досок из ПВХ в каменных стенах толщиной свыше 0,51 м</v>
      </c>
      <c r="E57" s="37" t="str">
        <f>Source!H32</f>
        <v>100 м</v>
      </c>
      <c r="F57" s="13">
        <f>Source!I32</f>
        <v>0.20699999999999999</v>
      </c>
      <c r="G57" s="36">
        <f>IF(Source!AK32&lt;&gt; 0, Source!AK32,Source!AL32 + Source!AM32 + Source!AO32)</f>
        <v>6481.17</v>
      </c>
      <c r="H57" s="38"/>
      <c r="I57" s="37" t="str">
        <f>Source!BO33</f>
        <v/>
      </c>
      <c r="J57" s="38"/>
      <c r="S57">
        <f>Source!X32</f>
        <v>40.99</v>
      </c>
      <c r="T57">
        <f>Source!X33</f>
        <v>245.52</v>
      </c>
      <c r="U57">
        <f>Source!Y32</f>
        <v>20.88</v>
      </c>
      <c r="V57">
        <f>Source!Y33</f>
        <v>125.07</v>
      </c>
    </row>
    <row r="58" spans="1:22" x14ac:dyDescent="0.2">
      <c r="D58" s="28" t="str">
        <f>"Объем: "&amp;Source!I32&amp;"=20,7/"&amp;"100"</f>
        <v>Объем: 0,207=20,7/100</v>
      </c>
    </row>
    <row r="59" spans="1:22" ht="14.25" x14ac:dyDescent="0.2">
      <c r="A59" s="53"/>
      <c r="B59" s="53"/>
      <c r="C59" s="54"/>
      <c r="D59" s="54" t="s">
        <v>450</v>
      </c>
      <c r="E59" s="37"/>
      <c r="F59" s="13"/>
      <c r="G59" s="36">
        <f>Source!AO32</f>
        <v>182.37</v>
      </c>
      <c r="H59" s="38">
        <f>Source!S32</f>
        <v>37.75</v>
      </c>
      <c r="I59" s="37">
        <f>IF(Source!BA33&lt;&gt; 0, Source!BA33, 1)</f>
        <v>5.99</v>
      </c>
      <c r="J59" s="38">
        <f>Source!S33</f>
        <v>226.13</v>
      </c>
      <c r="R59">
        <f>H59</f>
        <v>37.75</v>
      </c>
    </row>
    <row r="60" spans="1:22" ht="14.25" x14ac:dyDescent="0.2">
      <c r="A60" s="53"/>
      <c r="B60" s="53"/>
      <c r="C60" s="54"/>
      <c r="D60" s="54" t="s">
        <v>144</v>
      </c>
      <c r="E60" s="37"/>
      <c r="F60" s="13"/>
      <c r="G60" s="36">
        <f>Source!AM32</f>
        <v>21.9</v>
      </c>
      <c r="H60" s="38">
        <f>Source!Q32</f>
        <v>4.53</v>
      </c>
      <c r="I60" s="37">
        <f>IF(Source!BB33&lt;&gt; 0, Source!BB33, 1)</f>
        <v>5.99</v>
      </c>
      <c r="J60" s="38">
        <f>Source!Q33</f>
        <v>27.15</v>
      </c>
    </row>
    <row r="61" spans="1:22" ht="14.25" x14ac:dyDescent="0.2">
      <c r="A61" s="53"/>
      <c r="B61" s="53"/>
      <c r="C61" s="54"/>
      <c r="D61" s="54" t="s">
        <v>367</v>
      </c>
      <c r="E61" s="37"/>
      <c r="F61" s="13"/>
      <c r="G61" s="36">
        <f>Source!AN32</f>
        <v>4.43</v>
      </c>
      <c r="H61" s="40">
        <f>Source!R32</f>
        <v>0.92</v>
      </c>
      <c r="I61" s="37">
        <f>IF(Source!BS33&lt;&gt; 0, Source!BS33, 1)</f>
        <v>5.99</v>
      </c>
      <c r="J61" s="40">
        <f>Source!R33</f>
        <v>5.49</v>
      </c>
      <c r="R61">
        <f>H61</f>
        <v>0.92</v>
      </c>
    </row>
    <row r="62" spans="1:22" ht="14.25" x14ac:dyDescent="0.2">
      <c r="A62" s="53"/>
      <c r="B62" s="53"/>
      <c r="C62" s="54"/>
      <c r="D62" s="54" t="s">
        <v>373</v>
      </c>
      <c r="E62" s="37"/>
      <c r="F62" s="13"/>
      <c r="G62" s="36">
        <f>Source!AL32</f>
        <v>6276.9</v>
      </c>
      <c r="H62" s="38">
        <f>Source!P32</f>
        <v>1299.32</v>
      </c>
      <c r="I62" s="37">
        <f>IF(Source!BC33&lt;&gt; 0, Source!BC33, 1)</f>
        <v>5.99</v>
      </c>
      <c r="J62" s="38">
        <f>Source!P33</f>
        <v>7782.92</v>
      </c>
    </row>
    <row r="63" spans="1:22" ht="28.5" x14ac:dyDescent="0.2">
      <c r="A63" s="53">
        <v>6</v>
      </c>
      <c r="B63" s="53" t="str">
        <f>Source!E34</f>
        <v>3,1</v>
      </c>
      <c r="C63" s="54" t="str">
        <f>Source!F34</f>
        <v>11.3.03.01-0010</v>
      </c>
      <c r="D63" s="54" t="str">
        <f>Source!G34</f>
        <v>Доски подоконные ПВХ, шириной 500 мм</v>
      </c>
      <c r="E63" s="37" t="str">
        <f>Source!H34</f>
        <v>м</v>
      </c>
      <c r="F63" s="13">
        <f>Source!I34</f>
        <v>20.7</v>
      </c>
      <c r="G63" s="36">
        <f>Source!AK34</f>
        <v>64.349999999999994</v>
      </c>
      <c r="H63" s="38">
        <f>Source!O34</f>
        <v>1332.05</v>
      </c>
      <c r="I63" s="37">
        <f>IF(Source!BC35&lt;&gt; 0, Source!BC35, 1)</f>
        <v>5.99</v>
      </c>
      <c r="J63" s="38">
        <f>Source!O35</f>
        <v>7978.95</v>
      </c>
      <c r="S63">
        <f>Source!X34</f>
        <v>0</v>
      </c>
      <c r="T63">
        <f>Source!X35</f>
        <v>0</v>
      </c>
      <c r="U63">
        <f>Source!Y34</f>
        <v>0</v>
      </c>
      <c r="V63">
        <f>Source!Y35</f>
        <v>0</v>
      </c>
    </row>
    <row r="64" spans="1:22" ht="14.25" x14ac:dyDescent="0.2">
      <c r="A64" s="53"/>
      <c r="B64" s="53"/>
      <c r="C64" s="54"/>
      <c r="D64" s="54" t="s">
        <v>368</v>
      </c>
      <c r="E64" s="37" t="s">
        <v>369</v>
      </c>
      <c r="F64" s="13"/>
      <c r="G64" s="36">
        <f>Source!AT32</f>
        <v>106</v>
      </c>
      <c r="H64" s="38">
        <f>SUM(S57:S63)</f>
        <v>40.99</v>
      </c>
      <c r="I64" s="37"/>
      <c r="J64" s="38">
        <f>SUM(T57:T63)</f>
        <v>245.52</v>
      </c>
    </row>
    <row r="65" spans="1:22" ht="14.25" x14ac:dyDescent="0.2">
      <c r="A65" s="53"/>
      <c r="B65" s="53"/>
      <c r="C65" s="54"/>
      <c r="D65" s="54" t="s">
        <v>370</v>
      </c>
      <c r="E65" s="37" t="s">
        <v>369</v>
      </c>
      <c r="F65" s="13"/>
      <c r="G65" s="36">
        <f>Source!AU32</f>
        <v>54</v>
      </c>
      <c r="H65" s="38">
        <f>SUM(U57:U64)</f>
        <v>20.88</v>
      </c>
      <c r="I65" s="37"/>
      <c r="J65" s="38">
        <f>SUM(V57:V64)</f>
        <v>125.07</v>
      </c>
    </row>
    <row r="66" spans="1:22" ht="14.25" x14ac:dyDescent="0.2">
      <c r="A66" s="55"/>
      <c r="B66" s="55"/>
      <c r="C66" s="56"/>
      <c r="D66" s="56" t="s">
        <v>451</v>
      </c>
      <c r="E66" s="45" t="s">
        <v>372</v>
      </c>
      <c r="F66" s="43">
        <f>Source!AQ32</f>
        <v>21.38</v>
      </c>
      <c r="G66" s="44"/>
      <c r="H66" s="46">
        <f>Source!U33</f>
        <v>4.4256599999999997</v>
      </c>
      <c r="I66" s="45"/>
      <c r="J66" s="46"/>
    </row>
    <row r="67" spans="1:22" ht="15" x14ac:dyDescent="0.25">
      <c r="G67" s="108">
        <f xml:space="preserve"> Source!P32+Source!Q32+Source!S32+SUM(H63:H65)</f>
        <v>2735.52</v>
      </c>
      <c r="H67" s="108"/>
      <c r="I67" s="108">
        <f xml:space="preserve"> Source!P33+Source!Q33+Source!S33+SUM(J63:J65)</f>
        <v>16385.739999999998</v>
      </c>
      <c r="J67" s="108"/>
      <c r="O67" s="29">
        <f>G67</f>
        <v>2735.52</v>
      </c>
      <c r="P67" s="29">
        <f>I67</f>
        <v>16385.739999999998</v>
      </c>
    </row>
    <row r="68" spans="1:22" ht="42.75" x14ac:dyDescent="0.2">
      <c r="A68" s="53">
        <v>7</v>
      </c>
      <c r="B68" s="53" t="str">
        <f>Source!E36</f>
        <v>4</v>
      </c>
      <c r="C68" s="54" t="str">
        <f>Source!F36</f>
        <v>58-20-1</v>
      </c>
      <c r="D68" s="54" t="str">
        <f>Source!G36</f>
        <v>Смена обделок из листовой стали (поясков, сандриков, отливов, карнизов) шириной до 0,4 м</v>
      </c>
      <c r="E68" s="37" t="str">
        <f>Source!H36</f>
        <v>100 м</v>
      </c>
      <c r="F68" s="13">
        <f>Source!I36</f>
        <v>0.20699999999999999</v>
      </c>
      <c r="G68" s="36">
        <f>IF(Source!AK36&lt;&gt; 0, Source!AK36,Source!AL36 + Source!AM36 + Source!AO36)</f>
        <v>454.41</v>
      </c>
      <c r="H68" s="38"/>
      <c r="I68" s="37" t="str">
        <f>Source!BO37</f>
        <v/>
      </c>
      <c r="J68" s="38"/>
      <c r="S68">
        <f>Source!X36</f>
        <v>60.96</v>
      </c>
      <c r="T68">
        <f>Source!X37</f>
        <v>365.11</v>
      </c>
      <c r="U68">
        <f>Source!Y36</f>
        <v>47.74</v>
      </c>
      <c r="V68">
        <f>Source!Y37</f>
        <v>285.93</v>
      </c>
    </row>
    <row r="69" spans="1:22" x14ac:dyDescent="0.2">
      <c r="D69" s="28" t="str">
        <f>"Объем: "&amp;Source!I36&amp;"=20,7/"&amp;"100"</f>
        <v>Объем: 0,207=20,7/100</v>
      </c>
    </row>
    <row r="70" spans="1:22" ht="14.25" x14ac:dyDescent="0.2">
      <c r="A70" s="53"/>
      <c r="B70" s="53"/>
      <c r="C70" s="54"/>
      <c r="D70" s="54" t="s">
        <v>450</v>
      </c>
      <c r="E70" s="37"/>
      <c r="F70" s="13"/>
      <c r="G70" s="36">
        <f>Source!AO36</f>
        <v>353.23</v>
      </c>
      <c r="H70" s="38">
        <f>Source!S36</f>
        <v>73.12</v>
      </c>
      <c r="I70" s="37">
        <f>IF(Source!BA37&lt;&gt; 0, Source!BA37, 1)</f>
        <v>5.99</v>
      </c>
      <c r="J70" s="38">
        <f>Source!S37</f>
        <v>437.98</v>
      </c>
      <c r="R70">
        <f>H70</f>
        <v>73.12</v>
      </c>
    </row>
    <row r="71" spans="1:22" ht="14.25" x14ac:dyDescent="0.2">
      <c r="A71" s="53"/>
      <c r="B71" s="53"/>
      <c r="C71" s="54"/>
      <c r="D71" s="54" t="s">
        <v>144</v>
      </c>
      <c r="E71" s="37"/>
      <c r="F71" s="13"/>
      <c r="G71" s="36">
        <f>Source!AM36</f>
        <v>5.13</v>
      </c>
      <c r="H71" s="38">
        <f>Source!Q36</f>
        <v>1.06</v>
      </c>
      <c r="I71" s="37">
        <f>IF(Source!BB37&lt;&gt; 0, Source!BB37, 1)</f>
        <v>5.99</v>
      </c>
      <c r="J71" s="38">
        <f>Source!Q37</f>
        <v>6.36</v>
      </c>
    </row>
    <row r="72" spans="1:22" ht="14.25" x14ac:dyDescent="0.2">
      <c r="A72" s="53"/>
      <c r="B72" s="53"/>
      <c r="C72" s="54"/>
      <c r="D72" s="54" t="s">
        <v>367</v>
      </c>
      <c r="E72" s="37"/>
      <c r="F72" s="13"/>
      <c r="G72" s="36">
        <f>Source!AN36</f>
        <v>1.54</v>
      </c>
      <c r="H72" s="40">
        <f>Source!R36</f>
        <v>0.32</v>
      </c>
      <c r="I72" s="37">
        <f>IF(Source!BS37&lt;&gt; 0, Source!BS37, 1)</f>
        <v>5.99</v>
      </c>
      <c r="J72" s="40">
        <f>Source!R37</f>
        <v>1.91</v>
      </c>
      <c r="R72">
        <f>H72</f>
        <v>0.32</v>
      </c>
    </row>
    <row r="73" spans="1:22" ht="14.25" x14ac:dyDescent="0.2">
      <c r="A73" s="53"/>
      <c r="B73" s="53"/>
      <c r="C73" s="54"/>
      <c r="D73" s="54" t="s">
        <v>373</v>
      </c>
      <c r="E73" s="37"/>
      <c r="F73" s="13"/>
      <c r="G73" s="36">
        <f>Source!AL36</f>
        <v>96.05</v>
      </c>
      <c r="H73" s="38">
        <f>Source!P36</f>
        <v>19.88</v>
      </c>
      <c r="I73" s="37">
        <f>IF(Source!BC37&lt;&gt; 0, Source!BC37, 1)</f>
        <v>5.99</v>
      </c>
      <c r="J73" s="38">
        <f>Source!P37</f>
        <v>119.1</v>
      </c>
    </row>
    <row r="74" spans="1:22" ht="14.25" x14ac:dyDescent="0.2">
      <c r="A74" s="53">
        <v>8</v>
      </c>
      <c r="B74" s="53" t="str">
        <f>Source!E38</f>
        <v>4,1</v>
      </c>
      <c r="C74" s="54" t="str">
        <f>Source!F38</f>
        <v>01.7.07.07</v>
      </c>
      <c r="D74" s="54" t="str">
        <f>Source!G38</f>
        <v>Строительный мусор</v>
      </c>
      <c r="E74" s="37" t="str">
        <f>Source!H38</f>
        <v>т</v>
      </c>
      <c r="F74" s="13">
        <f>Source!I38</f>
        <v>4.6367999999999999E-2</v>
      </c>
      <c r="G74" s="36">
        <f>Source!AK38</f>
        <v>0</v>
      </c>
      <c r="H74" s="38">
        <f>Source!O38</f>
        <v>0</v>
      </c>
      <c r="I74" s="37">
        <f>IF(Source!BC39&lt;&gt; 0, Source!BC39, 1)</f>
        <v>5.99</v>
      </c>
      <c r="J74" s="38">
        <f>Source!O39</f>
        <v>0</v>
      </c>
      <c r="S74">
        <f>Source!X38</f>
        <v>0</v>
      </c>
      <c r="T74">
        <f>Source!X39</f>
        <v>0</v>
      </c>
      <c r="U74">
        <f>Source!Y38</f>
        <v>0</v>
      </c>
      <c r="V74">
        <f>Source!Y39</f>
        <v>0</v>
      </c>
    </row>
    <row r="75" spans="1:22" ht="14.25" x14ac:dyDescent="0.2">
      <c r="A75" s="53">
        <v>9</v>
      </c>
      <c r="B75" s="53" t="str">
        <f>Source!E40</f>
        <v>4,2</v>
      </c>
      <c r="C75" s="54" t="str">
        <f>Source!F40</f>
        <v>08.3.05.05</v>
      </c>
      <c r="D75" s="54" t="str">
        <f>Source!G40</f>
        <v>Сталь листовая оцинкованная</v>
      </c>
      <c r="E75" s="37" t="str">
        <f>Source!H40</f>
        <v>т</v>
      </c>
      <c r="F75" s="13">
        <f>Source!I40</f>
        <v>3.8087999999999997E-2</v>
      </c>
      <c r="G75" s="36">
        <f>Source!AK40</f>
        <v>0</v>
      </c>
      <c r="H75" s="38">
        <f>Source!O40</f>
        <v>0</v>
      </c>
      <c r="I75" s="37">
        <f>IF(Source!BC41&lt;&gt; 0, Source!BC41, 1)</f>
        <v>5.99</v>
      </c>
      <c r="J75" s="38">
        <f>Source!O41</f>
        <v>0</v>
      </c>
      <c r="S75">
        <f>Source!X40</f>
        <v>0</v>
      </c>
      <c r="T75">
        <f>Source!X41</f>
        <v>0</v>
      </c>
      <c r="U75">
        <f>Source!Y40</f>
        <v>0</v>
      </c>
      <c r="V75">
        <f>Source!Y41</f>
        <v>0</v>
      </c>
    </row>
    <row r="76" spans="1:22" ht="42.75" x14ac:dyDescent="0.2">
      <c r="A76" s="53">
        <v>10</v>
      </c>
      <c r="B76" s="53" t="str">
        <f>Source!E42</f>
        <v>4,3</v>
      </c>
      <c r="C76" s="54" t="str">
        <f>Source!F42</f>
        <v>08.3.05.05-0081</v>
      </c>
      <c r="D76" s="54" t="str">
        <f>Source!G42</f>
        <v>Сталь оцинкованная в рулонах толщиной 0,5 мм, с полимерным покрытием</v>
      </c>
      <c r="E76" s="37" t="str">
        <f>Source!H42</f>
        <v>т</v>
      </c>
      <c r="F76" s="13">
        <f>Source!I42</f>
        <v>3.8087999999999997E-2</v>
      </c>
      <c r="G76" s="36">
        <f>Source!AK42</f>
        <v>8715.1</v>
      </c>
      <c r="H76" s="38">
        <f>Source!O42</f>
        <v>331.94</v>
      </c>
      <c r="I76" s="37">
        <f>IF(Source!BC43&lt;&gt; 0, Source!BC43, 1)</f>
        <v>5.99</v>
      </c>
      <c r="J76" s="38">
        <f>Source!O43</f>
        <v>1988.32</v>
      </c>
      <c r="S76">
        <f>Source!X42</f>
        <v>0</v>
      </c>
      <c r="T76">
        <f>Source!X43</f>
        <v>0</v>
      </c>
      <c r="U76">
        <f>Source!Y42</f>
        <v>0</v>
      </c>
      <c r="V76">
        <f>Source!Y43</f>
        <v>0</v>
      </c>
    </row>
    <row r="77" spans="1:22" ht="42.75" x14ac:dyDescent="0.2">
      <c r="A77" s="53">
        <v>11</v>
      </c>
      <c r="B77" s="53" t="str">
        <f>Source!E44</f>
        <v>4,4</v>
      </c>
      <c r="C77" s="54" t="str">
        <f>Source!F44</f>
        <v>08.1.02.03-0021</v>
      </c>
      <c r="D77" s="54" t="str">
        <f>Source!G44</f>
        <v>Водоотлив оконный шириной планки 250 мм из оцинкованной стали с полимерным покрытием</v>
      </c>
      <c r="E77" s="37" t="str">
        <f>Source!H44</f>
        <v>П.М</v>
      </c>
      <c r="F77" s="13">
        <f>Source!I44</f>
        <v>20.7</v>
      </c>
      <c r="G77" s="36">
        <f>Source!AK44</f>
        <v>26.41</v>
      </c>
      <c r="H77" s="38">
        <f>Source!O44</f>
        <v>546.69000000000005</v>
      </c>
      <c r="I77" s="37">
        <f>IF(Source!BC45&lt;&gt; 0, Source!BC45, 1)</f>
        <v>5.99</v>
      </c>
      <c r="J77" s="38">
        <f>Source!O45</f>
        <v>3274.66</v>
      </c>
      <c r="S77">
        <f>Source!X44</f>
        <v>0</v>
      </c>
      <c r="T77">
        <f>Source!X45</f>
        <v>0</v>
      </c>
      <c r="U77">
        <f>Source!Y44</f>
        <v>0</v>
      </c>
      <c r="V77">
        <f>Source!Y45</f>
        <v>0</v>
      </c>
    </row>
    <row r="78" spans="1:22" ht="14.25" x14ac:dyDescent="0.2">
      <c r="A78" s="53"/>
      <c r="B78" s="53"/>
      <c r="C78" s="54"/>
      <c r="D78" s="54" t="s">
        <v>368</v>
      </c>
      <c r="E78" s="37" t="s">
        <v>369</v>
      </c>
      <c r="F78" s="13"/>
      <c r="G78" s="36">
        <f>Source!AT36</f>
        <v>83</v>
      </c>
      <c r="H78" s="38">
        <f>SUM(S68:S77)</f>
        <v>60.96</v>
      </c>
      <c r="I78" s="37"/>
      <c r="J78" s="38">
        <f>SUM(T68:T77)</f>
        <v>365.11</v>
      </c>
    </row>
    <row r="79" spans="1:22" ht="14.25" x14ac:dyDescent="0.2">
      <c r="A79" s="53"/>
      <c r="B79" s="53"/>
      <c r="C79" s="54"/>
      <c r="D79" s="54" t="s">
        <v>370</v>
      </c>
      <c r="E79" s="37" t="s">
        <v>369</v>
      </c>
      <c r="F79" s="13"/>
      <c r="G79" s="36">
        <f>Source!AU36</f>
        <v>65</v>
      </c>
      <c r="H79" s="38">
        <f>SUM(U68:U78)</f>
        <v>47.74</v>
      </c>
      <c r="I79" s="37"/>
      <c r="J79" s="38">
        <f>SUM(V68:V78)</f>
        <v>285.93</v>
      </c>
    </row>
    <row r="80" spans="1:22" ht="14.25" x14ac:dyDescent="0.2">
      <c r="A80" s="55"/>
      <c r="B80" s="55"/>
      <c r="C80" s="56"/>
      <c r="D80" s="56" t="s">
        <v>451</v>
      </c>
      <c r="E80" s="45" t="s">
        <v>372</v>
      </c>
      <c r="F80" s="43">
        <f>Source!AQ36</f>
        <v>41.41</v>
      </c>
      <c r="G80" s="44"/>
      <c r="H80" s="46">
        <f>Source!U37</f>
        <v>8.5718699999999988</v>
      </c>
      <c r="I80" s="45"/>
      <c r="J80" s="46"/>
    </row>
    <row r="81" spans="1:22" ht="15" x14ac:dyDescent="0.25">
      <c r="G81" s="108">
        <f xml:space="preserve"> Source!P36+Source!Q36+Source!S36+SUM(H74:H79)</f>
        <v>1081.3900000000001</v>
      </c>
      <c r="H81" s="108"/>
      <c r="I81" s="108">
        <f xml:space="preserve"> Source!P37+Source!Q37+Source!S37+SUM(J74:J79)</f>
        <v>6477.4599999999991</v>
      </c>
      <c r="J81" s="108"/>
      <c r="O81" s="29">
        <f>G81</f>
        <v>1081.3900000000001</v>
      </c>
      <c r="P81" s="29">
        <f>I81</f>
        <v>6477.4599999999991</v>
      </c>
    </row>
    <row r="82" spans="1:22" ht="71.25" x14ac:dyDescent="0.2">
      <c r="A82" s="53">
        <v>12</v>
      </c>
      <c r="B82" s="53" t="str">
        <f>Source!E46</f>
        <v>5</v>
      </c>
      <c r="C82" s="54" t="str">
        <f>Source!F46</f>
        <v>61-2-7</v>
      </c>
      <c r="D82" s="54" t="str">
        <f>Source!G46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E82" s="37" t="str">
        <f>Source!H46</f>
        <v>100 м2</v>
      </c>
      <c r="F82" s="13">
        <f>Source!I46</f>
        <v>0.26279999999999998</v>
      </c>
      <c r="G82" s="36">
        <f>IF(Source!AK46&lt;&gt; 0, Source!AK46,Source!AL46 + Source!AM46 + Source!AO46)</f>
        <v>3184.37</v>
      </c>
      <c r="H82" s="38"/>
      <c r="I82" s="37" t="str">
        <f>Source!BO47</f>
        <v/>
      </c>
      <c r="J82" s="38"/>
      <c r="S82">
        <f>Source!X46</f>
        <v>421.92</v>
      </c>
      <c r="T82">
        <f>Source!X47</f>
        <v>2527.27</v>
      </c>
      <c r="U82">
        <f>Source!Y46</f>
        <v>267.04000000000002</v>
      </c>
      <c r="V82">
        <f>Source!Y47</f>
        <v>1599.54</v>
      </c>
    </row>
    <row r="83" spans="1:22" x14ac:dyDescent="0.2">
      <c r="D83" s="28" t="str">
        <f>"Объем: "&amp;Source!I46&amp;"=26,28/"&amp;"100"</f>
        <v>Объем: 0,2628=26,28/100</v>
      </c>
    </row>
    <row r="84" spans="1:22" ht="14.25" x14ac:dyDescent="0.2">
      <c r="A84" s="53"/>
      <c r="B84" s="53"/>
      <c r="C84" s="54"/>
      <c r="D84" s="54" t="s">
        <v>450</v>
      </c>
      <c r="E84" s="37"/>
      <c r="F84" s="13"/>
      <c r="G84" s="36">
        <f>Source!AO46</f>
        <v>2023.18</v>
      </c>
      <c r="H84" s="38">
        <f>Source!S46</f>
        <v>531.69000000000005</v>
      </c>
      <c r="I84" s="37">
        <f>IF(Source!BA47&lt;&gt; 0, Source!BA47, 1)</f>
        <v>5.99</v>
      </c>
      <c r="J84" s="38">
        <f>Source!S47</f>
        <v>3184.83</v>
      </c>
      <c r="R84">
        <f>H84</f>
        <v>531.69000000000005</v>
      </c>
    </row>
    <row r="85" spans="1:22" ht="14.25" x14ac:dyDescent="0.2">
      <c r="A85" s="53"/>
      <c r="B85" s="53"/>
      <c r="C85" s="54"/>
      <c r="D85" s="54" t="s">
        <v>144</v>
      </c>
      <c r="E85" s="37"/>
      <c r="F85" s="13"/>
      <c r="G85" s="36">
        <f>Source!AM46</f>
        <v>20.94</v>
      </c>
      <c r="H85" s="38">
        <f>Source!Q46</f>
        <v>5.5</v>
      </c>
      <c r="I85" s="37">
        <f>IF(Source!BB47&lt;&gt; 0, Source!BB47, 1)</f>
        <v>5.99</v>
      </c>
      <c r="J85" s="38">
        <f>Source!Q47</f>
        <v>32.96</v>
      </c>
    </row>
    <row r="86" spans="1:22" ht="14.25" x14ac:dyDescent="0.2">
      <c r="A86" s="53"/>
      <c r="B86" s="53"/>
      <c r="C86" s="54"/>
      <c r="D86" s="54" t="s">
        <v>367</v>
      </c>
      <c r="E86" s="37"/>
      <c r="F86" s="13"/>
      <c r="G86" s="36">
        <f>Source!AN46</f>
        <v>9.0500000000000007</v>
      </c>
      <c r="H86" s="40">
        <f>Source!R46</f>
        <v>2.38</v>
      </c>
      <c r="I86" s="37">
        <f>IF(Source!BS47&lt;&gt; 0, Source!BS47, 1)</f>
        <v>5.99</v>
      </c>
      <c r="J86" s="40">
        <f>Source!R47</f>
        <v>14.25</v>
      </c>
      <c r="R86">
        <f>H86</f>
        <v>2.38</v>
      </c>
    </row>
    <row r="87" spans="1:22" ht="14.25" x14ac:dyDescent="0.2">
      <c r="A87" s="53"/>
      <c r="B87" s="53"/>
      <c r="C87" s="54"/>
      <c r="D87" s="54" t="s">
        <v>373</v>
      </c>
      <c r="E87" s="37"/>
      <c r="F87" s="13"/>
      <c r="G87" s="36">
        <f>Source!AL46</f>
        <v>1140.25</v>
      </c>
      <c r="H87" s="38">
        <f>Source!P46</f>
        <v>299.66000000000003</v>
      </c>
      <c r="I87" s="37">
        <f>IF(Source!BC47&lt;&gt; 0, Source!BC47, 1)</f>
        <v>5.99</v>
      </c>
      <c r="J87" s="38">
        <f>Source!P47</f>
        <v>1794.95</v>
      </c>
    </row>
    <row r="88" spans="1:22" ht="14.25" x14ac:dyDescent="0.2">
      <c r="A88" s="53">
        <v>13</v>
      </c>
      <c r="B88" s="53" t="str">
        <f>Source!E48</f>
        <v>5,1</v>
      </c>
      <c r="C88" s="54" t="str">
        <f>Source!F48</f>
        <v>01.7.07.07</v>
      </c>
      <c r="D88" s="54" t="str">
        <f>Source!G48</f>
        <v>Строительный мусор</v>
      </c>
      <c r="E88" s="37" t="str">
        <f>Source!H48</f>
        <v>т</v>
      </c>
      <c r="F88" s="13">
        <f>Source!I48</f>
        <v>0.88826400000000005</v>
      </c>
      <c r="G88" s="36">
        <f>Source!AK48</f>
        <v>0</v>
      </c>
      <c r="H88" s="38">
        <f>Source!O48</f>
        <v>0</v>
      </c>
      <c r="I88" s="37">
        <f>IF(Source!BC49&lt;&gt; 0, Source!BC49, 1)</f>
        <v>5.99</v>
      </c>
      <c r="J88" s="38">
        <f>Source!O49</f>
        <v>0</v>
      </c>
      <c r="S88">
        <f>Source!X48</f>
        <v>0</v>
      </c>
      <c r="T88">
        <f>Source!X49</f>
        <v>0</v>
      </c>
      <c r="U88">
        <f>Source!Y48</f>
        <v>0</v>
      </c>
      <c r="V88">
        <f>Source!Y49</f>
        <v>0</v>
      </c>
    </row>
    <row r="89" spans="1:22" ht="14.25" x14ac:dyDescent="0.2">
      <c r="A89" s="53"/>
      <c r="B89" s="53"/>
      <c r="C89" s="54"/>
      <c r="D89" s="54" t="s">
        <v>368</v>
      </c>
      <c r="E89" s="37" t="s">
        <v>369</v>
      </c>
      <c r="F89" s="13"/>
      <c r="G89" s="36">
        <f>Source!AT46</f>
        <v>79</v>
      </c>
      <c r="H89" s="38">
        <f>SUM(S82:S88)</f>
        <v>421.92</v>
      </c>
      <c r="I89" s="37"/>
      <c r="J89" s="38">
        <f>SUM(T82:T88)</f>
        <v>2527.27</v>
      </c>
    </row>
    <row r="90" spans="1:22" ht="14.25" x14ac:dyDescent="0.2">
      <c r="A90" s="53"/>
      <c r="B90" s="53"/>
      <c r="C90" s="54"/>
      <c r="D90" s="54" t="s">
        <v>370</v>
      </c>
      <c r="E90" s="37" t="s">
        <v>369</v>
      </c>
      <c r="F90" s="13"/>
      <c r="G90" s="36">
        <f>Source!AU46</f>
        <v>50</v>
      </c>
      <c r="H90" s="38">
        <f>SUM(U82:U89)</f>
        <v>267.04000000000002</v>
      </c>
      <c r="I90" s="37"/>
      <c r="J90" s="38">
        <f>SUM(V82:V89)</f>
        <v>1599.54</v>
      </c>
    </row>
    <row r="91" spans="1:22" ht="14.25" x14ac:dyDescent="0.2">
      <c r="A91" s="55"/>
      <c r="B91" s="55"/>
      <c r="C91" s="56"/>
      <c r="D91" s="56" t="s">
        <v>451</v>
      </c>
      <c r="E91" s="45" t="s">
        <v>372</v>
      </c>
      <c r="F91" s="43">
        <f>Source!AQ46</f>
        <v>228.35</v>
      </c>
      <c r="G91" s="44"/>
      <c r="H91" s="46">
        <f>Source!U47</f>
        <v>60.010379999999991</v>
      </c>
      <c r="I91" s="45"/>
      <c r="J91" s="46"/>
    </row>
    <row r="92" spans="1:22" ht="15" x14ac:dyDescent="0.25">
      <c r="G92" s="108">
        <f xml:space="preserve"> Source!P46+Source!Q46+Source!S46+SUM(H88:H90)</f>
        <v>1525.8100000000002</v>
      </c>
      <c r="H92" s="108"/>
      <c r="I92" s="108">
        <f xml:space="preserve"> Source!P47+Source!Q47+Source!S47+SUM(J88:J90)</f>
        <v>9139.5499999999993</v>
      </c>
      <c r="J92" s="108"/>
      <c r="O92" s="29">
        <f>G92</f>
        <v>1525.8100000000002</v>
      </c>
      <c r="P92" s="29">
        <f>I92</f>
        <v>9139.5499999999993</v>
      </c>
    </row>
    <row r="93" spans="1:22" ht="71.25" x14ac:dyDescent="0.2">
      <c r="A93" s="53">
        <v>14</v>
      </c>
      <c r="B93" s="53" t="str">
        <f>Source!E50</f>
        <v>6</v>
      </c>
      <c r="C93" s="54" t="str">
        <f>Source!F50</f>
        <v>62-16-4</v>
      </c>
      <c r="D93" s="54" t="str">
        <f>Source!G50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E93" s="37" t="str">
        <f>Source!H50</f>
        <v>100 м2</v>
      </c>
      <c r="F93" s="13">
        <f>Source!I50</f>
        <v>0.26279999999999998</v>
      </c>
      <c r="G93" s="36">
        <f>IF(Source!AK50&lt;&gt; 0, Source!AK50,Source!AL50 + Source!AM50 + Source!AO50)</f>
        <v>759.03</v>
      </c>
      <c r="H93" s="38"/>
      <c r="I93" s="37" t="str">
        <f>Source!BO51</f>
        <v/>
      </c>
      <c r="J93" s="38"/>
      <c r="S93">
        <f>Source!X50</f>
        <v>54.2</v>
      </c>
      <c r="T93">
        <f>Source!X51</f>
        <v>324.64999999999998</v>
      </c>
      <c r="U93">
        <f>Source!Y50</f>
        <v>33.880000000000003</v>
      </c>
      <c r="V93">
        <f>Source!Y51</f>
        <v>202.91</v>
      </c>
    </row>
    <row r="94" spans="1:22" x14ac:dyDescent="0.2">
      <c r="D94" s="28" t="str">
        <f>"Объем: "&amp;Source!I50&amp;"=26,28/"&amp;"100"</f>
        <v>Объем: 0,2628=26,28/100</v>
      </c>
    </row>
    <row r="95" spans="1:22" ht="14.25" x14ac:dyDescent="0.2">
      <c r="A95" s="53"/>
      <c r="B95" s="53"/>
      <c r="C95" s="54"/>
      <c r="D95" s="54" t="s">
        <v>450</v>
      </c>
      <c r="E95" s="37"/>
      <c r="F95" s="13"/>
      <c r="G95" s="36">
        <f>Source!AO50</f>
        <v>255.74</v>
      </c>
      <c r="H95" s="38">
        <f>Source!S50</f>
        <v>67.209999999999994</v>
      </c>
      <c r="I95" s="37">
        <f>IF(Source!BA51&lt;&gt; 0, Source!BA51, 1)</f>
        <v>5.99</v>
      </c>
      <c r="J95" s="38">
        <f>Source!S51</f>
        <v>402.58</v>
      </c>
      <c r="R95">
        <f>H95</f>
        <v>67.209999999999994</v>
      </c>
    </row>
    <row r="96" spans="1:22" ht="14.25" x14ac:dyDescent="0.2">
      <c r="A96" s="53"/>
      <c r="B96" s="53"/>
      <c r="C96" s="54"/>
      <c r="D96" s="54" t="s">
        <v>144</v>
      </c>
      <c r="E96" s="37"/>
      <c r="F96" s="13"/>
      <c r="G96" s="36">
        <f>Source!AM50</f>
        <v>7.07</v>
      </c>
      <c r="H96" s="38">
        <f>Source!Q50</f>
        <v>1.86</v>
      </c>
      <c r="I96" s="37">
        <f>IF(Source!BB51&lt;&gt; 0, Source!BB51, 1)</f>
        <v>5.99</v>
      </c>
      <c r="J96" s="38">
        <f>Source!Q51</f>
        <v>11.13</v>
      </c>
    </row>
    <row r="97" spans="1:22" ht="14.25" x14ac:dyDescent="0.2">
      <c r="A97" s="53"/>
      <c r="B97" s="53"/>
      <c r="C97" s="54"/>
      <c r="D97" s="54" t="s">
        <v>367</v>
      </c>
      <c r="E97" s="37"/>
      <c r="F97" s="13"/>
      <c r="G97" s="36">
        <f>Source!AN50</f>
        <v>2.0499999999999998</v>
      </c>
      <c r="H97" s="40">
        <f>Source!R50</f>
        <v>0.54</v>
      </c>
      <c r="I97" s="37">
        <f>IF(Source!BS51&lt;&gt; 0, Source!BS51, 1)</f>
        <v>5.99</v>
      </c>
      <c r="J97" s="40">
        <f>Source!R51</f>
        <v>3.23</v>
      </c>
      <c r="R97">
        <f>H97</f>
        <v>0.54</v>
      </c>
    </row>
    <row r="98" spans="1:22" ht="14.25" x14ac:dyDescent="0.2">
      <c r="A98" s="53"/>
      <c r="B98" s="53"/>
      <c r="C98" s="54"/>
      <c r="D98" s="54" t="s">
        <v>373</v>
      </c>
      <c r="E98" s="37"/>
      <c r="F98" s="13"/>
      <c r="G98" s="36">
        <f>Source!AL50</f>
        <v>496.22</v>
      </c>
      <c r="H98" s="38">
        <f>Source!P50</f>
        <v>130.41</v>
      </c>
      <c r="I98" s="37">
        <f>IF(Source!BC51&lt;&gt; 0, Source!BC51, 1)</f>
        <v>5.99</v>
      </c>
      <c r="J98" s="38">
        <f>Source!P51</f>
        <v>781.14</v>
      </c>
    </row>
    <row r="99" spans="1:22" ht="14.25" x14ac:dyDescent="0.2">
      <c r="A99" s="53">
        <v>15</v>
      </c>
      <c r="B99" s="53" t="str">
        <f>Source!E52</f>
        <v>6,1</v>
      </c>
      <c r="C99" s="54" t="str">
        <f>Source!F52</f>
        <v>14.3.02.01</v>
      </c>
      <c r="D99" s="54" t="str">
        <f>Source!G52</f>
        <v>Краска водоэмульсионная</v>
      </c>
      <c r="E99" s="37" t="str">
        <f>Source!H52</f>
        <v>т</v>
      </c>
      <c r="F99" s="13">
        <f>Source!I52</f>
        <v>1.8659000000000002E-2</v>
      </c>
      <c r="G99" s="36">
        <f>Source!AK52</f>
        <v>0</v>
      </c>
      <c r="H99" s="38">
        <f>Source!O52</f>
        <v>0</v>
      </c>
      <c r="I99" s="37">
        <f>IF(Source!BC53&lt;&gt; 0, Source!BC53, 1)</f>
        <v>5.99</v>
      </c>
      <c r="J99" s="38">
        <f>Source!O53</f>
        <v>0</v>
      </c>
      <c r="S99">
        <f>Source!X52</f>
        <v>0</v>
      </c>
      <c r="T99">
        <f>Source!X53</f>
        <v>0</v>
      </c>
      <c r="U99">
        <f>Source!Y52</f>
        <v>0</v>
      </c>
      <c r="V99">
        <f>Source!Y53</f>
        <v>0</v>
      </c>
    </row>
    <row r="100" spans="1:22" ht="28.5" x14ac:dyDescent="0.2">
      <c r="A100" s="53">
        <v>16</v>
      </c>
      <c r="B100" s="53" t="str">
        <f>Source!E54</f>
        <v>6,2</v>
      </c>
      <c r="C100" s="54" t="str">
        <f>Source!F54</f>
        <v>14.3.02.01-0223</v>
      </c>
      <c r="D100" s="54" t="str">
        <f>Source!G54</f>
        <v>Краска водоэмульсионная для внутренних работ ВАК-15</v>
      </c>
      <c r="E100" s="37" t="str">
        <f>Source!H54</f>
        <v>т</v>
      </c>
      <c r="F100" s="13">
        <f>Source!I54</f>
        <v>1.866E-2</v>
      </c>
      <c r="G100" s="36">
        <f>Source!AK54</f>
        <v>19973.669999999998</v>
      </c>
      <c r="H100" s="38">
        <f>Source!O54</f>
        <v>372.71</v>
      </c>
      <c r="I100" s="37">
        <f>IF(Source!BC55&lt;&gt; 0, Source!BC55, 1)</f>
        <v>5.99</v>
      </c>
      <c r="J100" s="38">
        <f>Source!O55</f>
        <v>2232.5300000000002</v>
      </c>
      <c r="S100">
        <f>Source!X54</f>
        <v>0</v>
      </c>
      <c r="T100">
        <f>Source!X55</f>
        <v>0</v>
      </c>
      <c r="U100">
        <f>Source!Y54</f>
        <v>0</v>
      </c>
      <c r="V100">
        <f>Source!Y55</f>
        <v>0</v>
      </c>
    </row>
    <row r="101" spans="1:22" ht="14.25" x14ac:dyDescent="0.2">
      <c r="A101" s="53"/>
      <c r="B101" s="53"/>
      <c r="C101" s="54"/>
      <c r="D101" s="54" t="s">
        <v>368</v>
      </c>
      <c r="E101" s="37" t="s">
        <v>369</v>
      </c>
      <c r="F101" s="13"/>
      <c r="G101" s="36">
        <f>Source!AT50</f>
        <v>80</v>
      </c>
      <c r="H101" s="38">
        <f>SUM(S93:S100)</f>
        <v>54.2</v>
      </c>
      <c r="I101" s="37"/>
      <c r="J101" s="38">
        <f>SUM(T93:T100)</f>
        <v>324.64999999999998</v>
      </c>
    </row>
    <row r="102" spans="1:22" ht="14.25" x14ac:dyDescent="0.2">
      <c r="A102" s="53"/>
      <c r="B102" s="53"/>
      <c r="C102" s="54"/>
      <c r="D102" s="54" t="s">
        <v>370</v>
      </c>
      <c r="E102" s="37" t="s">
        <v>369</v>
      </c>
      <c r="F102" s="13"/>
      <c r="G102" s="36">
        <f>Source!AU50</f>
        <v>50</v>
      </c>
      <c r="H102" s="38">
        <f>SUM(U93:U101)</f>
        <v>33.880000000000003</v>
      </c>
      <c r="I102" s="37"/>
      <c r="J102" s="38">
        <f>SUM(V93:V101)</f>
        <v>202.91</v>
      </c>
    </row>
    <row r="103" spans="1:22" ht="14.25" x14ac:dyDescent="0.2">
      <c r="A103" s="55"/>
      <c r="B103" s="55"/>
      <c r="C103" s="56"/>
      <c r="D103" s="56" t="s">
        <v>451</v>
      </c>
      <c r="E103" s="45" t="s">
        <v>372</v>
      </c>
      <c r="F103" s="43">
        <f>Source!AQ50</f>
        <v>29.6</v>
      </c>
      <c r="G103" s="44"/>
      <c r="H103" s="46">
        <f>Source!U51</f>
        <v>7.77888</v>
      </c>
      <c r="I103" s="45"/>
      <c r="J103" s="46"/>
    </row>
    <row r="104" spans="1:22" ht="15" x14ac:dyDescent="0.25">
      <c r="G104" s="108">
        <f xml:space="preserve"> Source!P50+Source!Q50+Source!S50+SUM(H99:H102)</f>
        <v>660.27</v>
      </c>
      <c r="H104" s="108"/>
      <c r="I104" s="108">
        <f xml:space="preserve"> Source!P51+Source!Q51+Source!S51+SUM(J99:J102)</f>
        <v>3954.94</v>
      </c>
      <c r="J104" s="108"/>
      <c r="O104" s="29">
        <f>G104</f>
        <v>660.27</v>
      </c>
      <c r="P104" s="29">
        <f>I104</f>
        <v>3954.94</v>
      </c>
    </row>
    <row r="105" spans="1:22" ht="71.25" x14ac:dyDescent="0.2">
      <c r="A105" s="53">
        <v>17</v>
      </c>
      <c r="B105" s="53" t="str">
        <f>Source!E56</f>
        <v>7</v>
      </c>
      <c r="C105" s="54" t="str">
        <f>Source!F56</f>
        <v>61-10-3</v>
      </c>
      <c r="D105" s="54" t="str">
        <f>Source!G56</f>
        <v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v>
      </c>
      <c r="E105" s="37" t="str">
        <f>Source!H56</f>
        <v>100 м2</v>
      </c>
      <c r="F105" s="13">
        <f>Source!I56</f>
        <v>0.216</v>
      </c>
      <c r="G105" s="36">
        <f>IF(Source!AK56&lt;&gt; 0, Source!AK56,Source!AL56 + Source!AM56 + Source!AO56)</f>
        <v>2786.77</v>
      </c>
      <c r="H105" s="38"/>
      <c r="I105" s="37" t="str">
        <f>Source!BO57</f>
        <v/>
      </c>
      <c r="J105" s="38"/>
      <c r="S105">
        <f>Source!X56</f>
        <v>280.76</v>
      </c>
      <c r="T105">
        <f>Source!X57</f>
        <v>1681.73</v>
      </c>
      <c r="U105">
        <f>Source!Y56</f>
        <v>177.7</v>
      </c>
      <c r="V105">
        <f>Source!Y57</f>
        <v>1064.3900000000001</v>
      </c>
    </row>
    <row r="106" spans="1:22" x14ac:dyDescent="0.2">
      <c r="D106" s="28" t="str">
        <f>"Объем: "&amp;Source!I56&amp;"=21,6/"&amp;"100"</f>
        <v>Объем: 0,216=21,6/100</v>
      </c>
    </row>
    <row r="107" spans="1:22" ht="14.25" x14ac:dyDescent="0.2">
      <c r="A107" s="53"/>
      <c r="B107" s="53"/>
      <c r="C107" s="54"/>
      <c r="D107" s="54" t="s">
        <v>450</v>
      </c>
      <c r="E107" s="37"/>
      <c r="F107" s="13"/>
      <c r="G107" s="36">
        <f>Source!AO56</f>
        <v>1645.31</v>
      </c>
      <c r="H107" s="38">
        <f>Source!S56</f>
        <v>355.39</v>
      </c>
      <c r="I107" s="37">
        <f>IF(Source!BA57&lt;&gt; 0, Source!BA57, 1)</f>
        <v>5.99</v>
      </c>
      <c r="J107" s="38">
        <f>Source!S57</f>
        <v>2128.77</v>
      </c>
      <c r="R107">
        <f>H107</f>
        <v>355.39</v>
      </c>
    </row>
    <row r="108" spans="1:22" ht="14.25" x14ac:dyDescent="0.2">
      <c r="A108" s="53"/>
      <c r="B108" s="53"/>
      <c r="C108" s="54"/>
      <c r="D108" s="54" t="s">
        <v>144</v>
      </c>
      <c r="E108" s="37"/>
      <c r="F108" s="13"/>
      <c r="G108" s="36">
        <f>Source!AM56</f>
        <v>1.21</v>
      </c>
      <c r="H108" s="38">
        <f>Source!Q56</f>
        <v>0.26</v>
      </c>
      <c r="I108" s="37">
        <f>IF(Source!BB57&lt;&gt; 0, Source!BB57, 1)</f>
        <v>5.99</v>
      </c>
      <c r="J108" s="38">
        <f>Source!Q57</f>
        <v>1.57</v>
      </c>
    </row>
    <row r="109" spans="1:22" ht="14.25" x14ac:dyDescent="0.2">
      <c r="A109" s="53"/>
      <c r="B109" s="53"/>
      <c r="C109" s="54"/>
      <c r="D109" s="54" t="s">
        <v>373</v>
      </c>
      <c r="E109" s="37"/>
      <c r="F109" s="13"/>
      <c r="G109" s="36">
        <f>Source!AL56</f>
        <v>1140.25</v>
      </c>
      <c r="H109" s="38">
        <f>Source!P56</f>
        <v>246.29</v>
      </c>
      <c r="I109" s="37">
        <f>IF(Source!BC57&lt;&gt; 0, Source!BC57, 1)</f>
        <v>5.99</v>
      </c>
      <c r="J109" s="38">
        <f>Source!P57</f>
        <v>1475.3</v>
      </c>
    </row>
    <row r="110" spans="1:22" ht="14.25" x14ac:dyDescent="0.2">
      <c r="A110" s="53">
        <v>18</v>
      </c>
      <c r="B110" s="53" t="str">
        <f>Source!E58</f>
        <v>7,1</v>
      </c>
      <c r="C110" s="54" t="str">
        <f>Source!F58</f>
        <v>01.7.07.07</v>
      </c>
      <c r="D110" s="54" t="str">
        <f>Source!G58</f>
        <v>Строительный мусор</v>
      </c>
      <c r="E110" s="37" t="str">
        <f>Source!H58</f>
        <v>т</v>
      </c>
      <c r="F110" s="13">
        <f>Source!I58</f>
        <v>1.0454399999999999</v>
      </c>
      <c r="G110" s="36">
        <f>Source!AK58</f>
        <v>0</v>
      </c>
      <c r="H110" s="38">
        <f>Source!O58</f>
        <v>0</v>
      </c>
      <c r="I110" s="37">
        <f>IF(Source!BC59&lt;&gt; 0, Source!BC59, 1)</f>
        <v>5.99</v>
      </c>
      <c r="J110" s="38">
        <f>Source!O59</f>
        <v>0</v>
      </c>
      <c r="S110">
        <f>Source!X58</f>
        <v>0</v>
      </c>
      <c r="T110">
        <f>Source!X59</f>
        <v>0</v>
      </c>
      <c r="U110">
        <f>Source!Y58</f>
        <v>0</v>
      </c>
      <c r="V110">
        <f>Source!Y59</f>
        <v>0</v>
      </c>
    </row>
    <row r="111" spans="1:22" ht="14.25" x14ac:dyDescent="0.2">
      <c r="A111" s="53"/>
      <c r="B111" s="53"/>
      <c r="C111" s="54"/>
      <c r="D111" s="54" t="s">
        <v>368</v>
      </c>
      <c r="E111" s="37" t="s">
        <v>369</v>
      </c>
      <c r="F111" s="13"/>
      <c r="G111" s="36">
        <f>Source!AT56</f>
        <v>79</v>
      </c>
      <c r="H111" s="38">
        <f>SUM(S105:S110)</f>
        <v>280.76</v>
      </c>
      <c r="I111" s="37"/>
      <c r="J111" s="38">
        <f>SUM(T105:T110)</f>
        <v>1681.73</v>
      </c>
    </row>
    <row r="112" spans="1:22" ht="14.25" x14ac:dyDescent="0.2">
      <c r="A112" s="53"/>
      <c r="B112" s="53"/>
      <c r="C112" s="54"/>
      <c r="D112" s="54" t="s">
        <v>370</v>
      </c>
      <c r="E112" s="37" t="s">
        <v>369</v>
      </c>
      <c r="F112" s="13"/>
      <c r="G112" s="36">
        <f>Source!AU56</f>
        <v>50</v>
      </c>
      <c r="H112" s="38">
        <f>SUM(U105:U111)</f>
        <v>177.7</v>
      </c>
      <c r="I112" s="37"/>
      <c r="J112" s="38">
        <f>SUM(V105:V111)</f>
        <v>1064.3900000000001</v>
      </c>
    </row>
    <row r="113" spans="1:22" ht="14.25" x14ac:dyDescent="0.2">
      <c r="A113" s="55"/>
      <c r="B113" s="55"/>
      <c r="C113" s="56"/>
      <c r="D113" s="56" t="s">
        <v>451</v>
      </c>
      <c r="E113" s="45" t="s">
        <v>372</v>
      </c>
      <c r="F113" s="43">
        <f>Source!AQ56</f>
        <v>188.25</v>
      </c>
      <c r="G113" s="44"/>
      <c r="H113" s="46">
        <f>Source!U57</f>
        <v>40.661999999999999</v>
      </c>
      <c r="I113" s="45"/>
      <c r="J113" s="46"/>
    </row>
    <row r="114" spans="1:22" ht="15" x14ac:dyDescent="0.25">
      <c r="G114" s="108">
        <f xml:space="preserve"> Source!P56+Source!Q56+Source!S56+SUM(H110:H112)</f>
        <v>1060.3999999999999</v>
      </c>
      <c r="H114" s="108"/>
      <c r="I114" s="108">
        <f xml:space="preserve"> Source!P57+Source!Q57+Source!S57+SUM(J110:J112)</f>
        <v>6351.76</v>
      </c>
      <c r="J114" s="108"/>
      <c r="O114" s="29">
        <f>G114</f>
        <v>1060.3999999999999</v>
      </c>
      <c r="P114" s="29">
        <f>I114</f>
        <v>6351.76</v>
      </c>
    </row>
    <row r="115" spans="1:22" ht="42.75" x14ac:dyDescent="0.2">
      <c r="A115" s="53">
        <v>19</v>
      </c>
      <c r="B115" s="53" t="str">
        <f>Source!E60</f>
        <v>8</v>
      </c>
      <c r="C115" s="54" t="str">
        <f>Source!F60</f>
        <v>15-04-012-01</v>
      </c>
      <c r="D115" s="54" t="str">
        <f>Source!G60</f>
        <v>Окраска фасадов с лесов с подготовкой поверхности перхлорвиниловая</v>
      </c>
      <c r="E115" s="37" t="str">
        <f>Source!H60</f>
        <v>100 м2</v>
      </c>
      <c r="F115" s="13">
        <f>Source!I60</f>
        <v>0.216</v>
      </c>
      <c r="G115" s="36">
        <f>IF(Source!AK60&lt;&gt; 0, Source!AK60,Source!AL60 + Source!AM60 + Source!AO60)</f>
        <v>685.42</v>
      </c>
      <c r="H115" s="38"/>
      <c r="I115" s="37" t="str">
        <f>Source!BO61</f>
        <v/>
      </c>
      <c r="J115" s="38"/>
      <c r="S115">
        <f>Source!X60</f>
        <v>27.07</v>
      </c>
      <c r="T115">
        <f>Source!X61</f>
        <v>162.13999999999999</v>
      </c>
      <c r="U115">
        <f>Source!Y60</f>
        <v>13.39</v>
      </c>
      <c r="V115">
        <f>Source!Y61</f>
        <v>80.209999999999994</v>
      </c>
    </row>
    <row r="116" spans="1:22" x14ac:dyDescent="0.2">
      <c r="D116" s="28" t="str">
        <f>"Объем: "&amp;Source!I60&amp;"=21,6/"&amp;"100"</f>
        <v>Объем: 0,216=21,6/100</v>
      </c>
    </row>
    <row r="117" spans="1:22" ht="14.25" x14ac:dyDescent="0.2">
      <c r="A117" s="53"/>
      <c r="B117" s="53"/>
      <c r="C117" s="54"/>
      <c r="D117" s="54" t="s">
        <v>450</v>
      </c>
      <c r="E117" s="37"/>
      <c r="F117" s="13"/>
      <c r="G117" s="36">
        <f>Source!AO60</f>
        <v>130.52000000000001</v>
      </c>
      <c r="H117" s="38">
        <f>Source!S60</f>
        <v>28.19</v>
      </c>
      <c r="I117" s="37">
        <f>IF(Source!BA61&lt;&gt; 0, Source!BA61, 1)</f>
        <v>5.99</v>
      </c>
      <c r="J117" s="38">
        <f>Source!S61</f>
        <v>168.87</v>
      </c>
      <c r="R117">
        <f>H117</f>
        <v>28.19</v>
      </c>
    </row>
    <row r="118" spans="1:22" ht="14.25" x14ac:dyDescent="0.2">
      <c r="A118" s="53"/>
      <c r="B118" s="53"/>
      <c r="C118" s="54"/>
      <c r="D118" s="54" t="s">
        <v>144</v>
      </c>
      <c r="E118" s="37"/>
      <c r="F118" s="13"/>
      <c r="G118" s="36">
        <f>Source!AM60</f>
        <v>8.3000000000000007</v>
      </c>
      <c r="H118" s="38">
        <f>Source!Q60</f>
        <v>1.79</v>
      </c>
      <c r="I118" s="37">
        <f>IF(Source!BB61&lt;&gt; 0, Source!BB61, 1)</f>
        <v>5.99</v>
      </c>
      <c r="J118" s="38">
        <f>Source!Q61</f>
        <v>10.74</v>
      </c>
    </row>
    <row r="119" spans="1:22" ht="14.25" x14ac:dyDescent="0.2">
      <c r="A119" s="53"/>
      <c r="B119" s="53"/>
      <c r="C119" s="54"/>
      <c r="D119" s="54" t="s">
        <v>367</v>
      </c>
      <c r="E119" s="37"/>
      <c r="F119" s="13"/>
      <c r="G119" s="36">
        <f>Source!AN60</f>
        <v>1.39</v>
      </c>
      <c r="H119" s="40">
        <f>Source!R60</f>
        <v>0.3</v>
      </c>
      <c r="I119" s="37">
        <f>IF(Source!BS61&lt;&gt; 0, Source!BS61, 1)</f>
        <v>5.99</v>
      </c>
      <c r="J119" s="40">
        <f>Source!R61</f>
        <v>1.8</v>
      </c>
      <c r="R119">
        <f>H119</f>
        <v>0.3</v>
      </c>
    </row>
    <row r="120" spans="1:22" ht="14.25" x14ac:dyDescent="0.2">
      <c r="A120" s="53"/>
      <c r="B120" s="53"/>
      <c r="C120" s="54"/>
      <c r="D120" s="54" t="s">
        <v>373</v>
      </c>
      <c r="E120" s="37"/>
      <c r="F120" s="13"/>
      <c r="G120" s="36">
        <f>Source!AL60</f>
        <v>546.6</v>
      </c>
      <c r="H120" s="38">
        <f>Source!P60</f>
        <v>118.07</v>
      </c>
      <c r="I120" s="37">
        <f>IF(Source!BC61&lt;&gt; 0, Source!BC61, 1)</f>
        <v>5.99</v>
      </c>
      <c r="J120" s="38">
        <f>Source!P61</f>
        <v>707.21</v>
      </c>
    </row>
    <row r="121" spans="1:22" ht="14.25" x14ac:dyDescent="0.2">
      <c r="A121" s="53">
        <v>20</v>
      </c>
      <c r="B121" s="53" t="str">
        <f>Source!E62</f>
        <v>8,1</v>
      </c>
      <c r="C121" s="54" t="str">
        <f>Source!F62</f>
        <v>14.4.02.07</v>
      </c>
      <c r="D121" s="54" t="str">
        <f>Source!G62</f>
        <v>Краски перхлорвиниловые</v>
      </c>
      <c r="E121" s="37" t="str">
        <f>Source!H62</f>
        <v>т</v>
      </c>
      <c r="F121" s="13">
        <f>Source!I62</f>
        <v>1.2744E-2</v>
      </c>
      <c r="G121" s="36">
        <f>Source!AK62</f>
        <v>0</v>
      </c>
      <c r="H121" s="38">
        <f>Source!O62</f>
        <v>0</v>
      </c>
      <c r="I121" s="37">
        <f>IF(Source!BC63&lt;&gt; 0, Source!BC63, 1)</f>
        <v>5.99</v>
      </c>
      <c r="J121" s="38">
        <f>Source!O63</f>
        <v>0</v>
      </c>
      <c r="S121">
        <f>Source!X62</f>
        <v>0</v>
      </c>
      <c r="T121">
        <f>Source!X63</f>
        <v>0</v>
      </c>
      <c r="U121">
        <f>Source!Y62</f>
        <v>0</v>
      </c>
      <c r="V121">
        <f>Source!Y63</f>
        <v>0</v>
      </c>
    </row>
    <row r="122" spans="1:22" ht="28.5" x14ac:dyDescent="0.2">
      <c r="A122" s="53">
        <v>21</v>
      </c>
      <c r="B122" s="53" t="str">
        <f>Source!E64</f>
        <v>8,2</v>
      </c>
      <c r="C122" s="54" t="str">
        <f>Source!F64</f>
        <v>14.4.02.07-0002</v>
      </c>
      <c r="D122" s="54" t="str">
        <f>Source!G64</f>
        <v>Краска ХВ-161 перхлорвиниловая фасадная марок А, Б</v>
      </c>
      <c r="E122" s="37" t="str">
        <f>Source!H64</f>
        <v>т</v>
      </c>
      <c r="F122" s="13">
        <f>Source!I64</f>
        <v>1.2744999999999999E-2</v>
      </c>
      <c r="G122" s="36">
        <f>Source!AK64</f>
        <v>15989</v>
      </c>
      <c r="H122" s="38">
        <f>Source!O64</f>
        <v>203.78</v>
      </c>
      <c r="I122" s="37">
        <f>IF(Source!BC65&lt;&gt; 0, Source!BC65, 1)</f>
        <v>5.99</v>
      </c>
      <c r="J122" s="38">
        <f>Source!O65</f>
        <v>1220.6400000000001</v>
      </c>
      <c r="S122">
        <f>Source!X64</f>
        <v>0</v>
      </c>
      <c r="T122">
        <f>Source!X65</f>
        <v>0</v>
      </c>
      <c r="U122">
        <f>Source!Y64</f>
        <v>0</v>
      </c>
      <c r="V122">
        <f>Source!Y65</f>
        <v>0</v>
      </c>
    </row>
    <row r="123" spans="1:22" ht="14.25" x14ac:dyDescent="0.2">
      <c r="A123" s="53"/>
      <c r="B123" s="53"/>
      <c r="C123" s="54"/>
      <c r="D123" s="54" t="s">
        <v>368</v>
      </c>
      <c r="E123" s="37" t="s">
        <v>369</v>
      </c>
      <c r="F123" s="13"/>
      <c r="G123" s="36">
        <f>Source!AT60</f>
        <v>95</v>
      </c>
      <c r="H123" s="38">
        <f>SUM(S115:S122)</f>
        <v>27.07</v>
      </c>
      <c r="I123" s="37"/>
      <c r="J123" s="38">
        <f>SUM(T115:T122)</f>
        <v>162.13999999999999</v>
      </c>
    </row>
    <row r="124" spans="1:22" ht="14.25" x14ac:dyDescent="0.2">
      <c r="A124" s="53"/>
      <c r="B124" s="53"/>
      <c r="C124" s="54"/>
      <c r="D124" s="54" t="s">
        <v>370</v>
      </c>
      <c r="E124" s="37" t="s">
        <v>369</v>
      </c>
      <c r="F124" s="13"/>
      <c r="G124" s="36">
        <f>Source!AU60</f>
        <v>47</v>
      </c>
      <c r="H124" s="38">
        <f>SUM(U115:U123)</f>
        <v>13.39</v>
      </c>
      <c r="I124" s="37"/>
      <c r="J124" s="38">
        <f>SUM(V115:V123)</f>
        <v>80.209999999999994</v>
      </c>
    </row>
    <row r="125" spans="1:22" ht="14.25" x14ac:dyDescent="0.2">
      <c r="A125" s="55"/>
      <c r="B125" s="55"/>
      <c r="C125" s="56"/>
      <c r="D125" s="56" t="s">
        <v>451</v>
      </c>
      <c r="E125" s="45" t="s">
        <v>372</v>
      </c>
      <c r="F125" s="43">
        <f>Source!AQ60</f>
        <v>14.39</v>
      </c>
      <c r="G125" s="44"/>
      <c r="H125" s="46">
        <f>Source!U61</f>
        <v>3.1082399999999999</v>
      </c>
      <c r="I125" s="45"/>
      <c r="J125" s="46"/>
    </row>
    <row r="126" spans="1:22" ht="15" x14ac:dyDescent="0.25">
      <c r="G126" s="108">
        <f xml:space="preserve"> Source!P60+Source!Q60+Source!S60+SUM(H121:H124)</f>
        <v>392.29</v>
      </c>
      <c r="H126" s="108"/>
      <c r="I126" s="108">
        <f xml:space="preserve"> Source!P61+Source!Q61+Source!S61+SUM(J121:J124)</f>
        <v>2349.8100000000004</v>
      </c>
      <c r="J126" s="108"/>
      <c r="O126" s="29">
        <f>G126</f>
        <v>392.29</v>
      </c>
      <c r="P126" s="29">
        <f>I126</f>
        <v>2349.8100000000004</v>
      </c>
    </row>
    <row r="127" spans="1:22" ht="42.75" x14ac:dyDescent="0.2">
      <c r="A127" s="55">
        <v>22</v>
      </c>
      <c r="B127" s="55" t="str">
        <f>Source!E66</f>
        <v>9</v>
      </c>
      <c r="C127" s="56" t="str">
        <f>Source!F66</f>
        <v>т01-01-01-041</v>
      </c>
      <c r="D127" s="56" t="str">
        <f>Source!G66</f>
        <v>Погрузочные работы при автомобильных перевозках мусора строительного с погрузкой вручную</v>
      </c>
      <c r="E127" s="45" t="str">
        <f>Source!H66</f>
        <v>1 Т ГРУЗА</v>
      </c>
      <c r="F127" s="43">
        <f>Source!I66</f>
        <v>3.1</v>
      </c>
      <c r="G127" s="44">
        <f>Source!AK66</f>
        <v>42.98</v>
      </c>
      <c r="H127" s="46">
        <f>Source!GM66</f>
        <v>133.24</v>
      </c>
      <c r="I127" s="45">
        <f>Source!AZ67</f>
        <v>5.99</v>
      </c>
      <c r="J127" s="46">
        <f>Source!GM67</f>
        <v>798.1</v>
      </c>
      <c r="S127">
        <f>Source!X66</f>
        <v>0</v>
      </c>
      <c r="T127">
        <f>Source!X67</f>
        <v>0</v>
      </c>
      <c r="U127">
        <f>Source!Y66</f>
        <v>0</v>
      </c>
      <c r="V127">
        <f>Source!Y67</f>
        <v>0</v>
      </c>
    </row>
    <row r="128" spans="1:22" ht="15" x14ac:dyDescent="0.25">
      <c r="G128" s="108">
        <f>H127+SUM(H128:H128)</f>
        <v>133.24</v>
      </c>
      <c r="H128" s="108"/>
      <c r="I128" s="108">
        <f>J127+SUM(J128:J128)</f>
        <v>798.1</v>
      </c>
      <c r="J128" s="108"/>
      <c r="O128" s="29">
        <f>G128</f>
        <v>133.24</v>
      </c>
      <c r="P128" s="29">
        <f>I128</f>
        <v>798.1</v>
      </c>
    </row>
    <row r="129" spans="1:32" ht="57" x14ac:dyDescent="0.2">
      <c r="A129" s="55">
        <v>23</v>
      </c>
      <c r="B129" s="55" t="str">
        <f>Source!E68</f>
        <v>10</v>
      </c>
      <c r="C129" s="56" t="str">
        <f>Source!F68</f>
        <v>т03-21-01-015</v>
      </c>
      <c r="D129" s="56" t="str">
        <f>Source!G68</f>
        <v>Перевозка грузов I класса автомобилями-самосвалами грузоподъемностью 10 т работающих вне карьера на расстояние до 15 км</v>
      </c>
      <c r="E129" s="45" t="str">
        <f>Source!H68</f>
        <v>1 Т ГРУЗА</v>
      </c>
      <c r="F129" s="43">
        <f>Source!I68</f>
        <v>3.1</v>
      </c>
      <c r="G129" s="44">
        <f>Source!AK68</f>
        <v>13.38</v>
      </c>
      <c r="H129" s="46">
        <f>Source!GM68</f>
        <v>41.48</v>
      </c>
      <c r="I129" s="45">
        <f>Source!AZ69</f>
        <v>5.99</v>
      </c>
      <c r="J129" s="46">
        <f>Source!GM69</f>
        <v>248.45</v>
      </c>
      <c r="S129">
        <f>Source!X68</f>
        <v>0</v>
      </c>
      <c r="T129">
        <f>Source!X69</f>
        <v>0</v>
      </c>
      <c r="U129">
        <f>Source!Y68</f>
        <v>0</v>
      </c>
      <c r="V129">
        <f>Source!Y69</f>
        <v>0</v>
      </c>
    </row>
    <row r="130" spans="1:32" ht="15" x14ac:dyDescent="0.25">
      <c r="G130" s="108">
        <f>H129+SUM(H130:H130)</f>
        <v>41.48</v>
      </c>
      <c r="H130" s="108"/>
      <c r="I130" s="108">
        <f>J129+SUM(J130:J130)</f>
        <v>248.45</v>
      </c>
      <c r="J130" s="108"/>
      <c r="O130" s="29">
        <f>G130</f>
        <v>41.48</v>
      </c>
      <c r="P130" s="29">
        <f>I130</f>
        <v>248.45</v>
      </c>
    </row>
    <row r="132" spans="1:32" ht="15" x14ac:dyDescent="0.25">
      <c r="A132" s="109" t="str">
        <f>CONCATENATE("Итого по локальной смете: ",IF(Source!G71&lt;&gt;"Новая локальная смета", Source!G71, ""))</f>
        <v xml:space="preserve">Итого по локальной смете: </v>
      </c>
      <c r="B132" s="109"/>
      <c r="C132" s="109"/>
      <c r="D132" s="109"/>
      <c r="E132" s="109"/>
      <c r="F132" s="109"/>
      <c r="G132" s="108">
        <f>SUM(O35:O131)</f>
        <v>239543.75</v>
      </c>
      <c r="H132" s="100"/>
      <c r="I132" s="108">
        <f>SUM(P35:P131)</f>
        <v>1434866.6500000001</v>
      </c>
      <c r="J132" s="100"/>
    </row>
    <row r="135" spans="1:32" ht="14.25" x14ac:dyDescent="0.2">
      <c r="A135" s="133" t="str">
        <f>Source!H104</f>
        <v>Итого</v>
      </c>
      <c r="B135" s="133"/>
      <c r="C135" s="133"/>
      <c r="D135" s="133"/>
      <c r="E135" s="133"/>
      <c r="F135" s="133"/>
      <c r="G135" s="101">
        <f>Source!F104</f>
        <v>239369.03</v>
      </c>
      <c r="H135" s="101"/>
      <c r="I135" s="101">
        <f>Source!P104</f>
        <v>1433820.1</v>
      </c>
      <c r="J135" s="101"/>
    </row>
    <row r="136" spans="1:32" ht="14.25" x14ac:dyDescent="0.2">
      <c r="A136" s="133" t="str">
        <f>Source!H105</f>
        <v>НДС 18%</v>
      </c>
      <c r="B136" s="133"/>
      <c r="C136" s="133"/>
      <c r="D136" s="133"/>
      <c r="E136" s="133"/>
      <c r="F136" s="133"/>
      <c r="G136" s="101">
        <f>Source!F105</f>
        <v>43086.43</v>
      </c>
      <c r="H136" s="101"/>
      <c r="I136" s="101">
        <f>Source!P105</f>
        <v>258087.62</v>
      </c>
      <c r="J136" s="101"/>
    </row>
    <row r="137" spans="1:32" ht="14.25" x14ac:dyDescent="0.2">
      <c r="A137" s="133" t="str">
        <f>Source!H106</f>
        <v>Всего</v>
      </c>
      <c r="B137" s="133"/>
      <c r="C137" s="133"/>
      <c r="D137" s="133"/>
      <c r="E137" s="133"/>
      <c r="F137" s="133"/>
      <c r="G137" s="101">
        <f>Source!F106</f>
        <v>282455.46000000002</v>
      </c>
      <c r="H137" s="101"/>
      <c r="I137" s="101">
        <f>Source!P106</f>
        <v>1691907.72</v>
      </c>
      <c r="J137" s="101"/>
    </row>
    <row r="139" spans="1:32" ht="30" x14ac:dyDescent="0.25">
      <c r="A139" s="109" t="str">
        <f>CONCATENATE("Итого по смете: ",IF(Source!G108&lt;&gt;"Новый объект", Source!G108, ""))</f>
        <v>Итого по смете: Капитальный ремонт окооных проемов в библиотекеучебного корпуса ДИТИ НИЯУ МИФИ_</v>
      </c>
      <c r="B139" s="109"/>
      <c r="C139" s="109"/>
      <c r="D139" s="109"/>
      <c r="E139" s="109"/>
      <c r="F139" s="109"/>
      <c r="G139" s="108">
        <f>SUM(O1:O138)</f>
        <v>239543.75</v>
      </c>
      <c r="H139" s="100"/>
      <c r="I139" s="108">
        <f>SUM(P1:P138)</f>
        <v>1434866.6500000001</v>
      </c>
      <c r="J139" s="100"/>
      <c r="AF139" s="69" t="str">
        <f>CONCATENATE("Итого по смете: ",IF(Source!G108&lt;&gt;"Новый объект", Source!G108, ""))</f>
        <v>Итого по смете: Капитальный ремонт окооных проемов в библиотекеучебного корпуса ДИТИ НИЯУ МИФИ_</v>
      </c>
    </row>
    <row r="141" spans="1:32" ht="14.25" x14ac:dyDescent="0.2">
      <c r="A141" s="133" t="str">
        <f>Source!H141</f>
        <v>Итого</v>
      </c>
      <c r="B141" s="133"/>
      <c r="C141" s="133"/>
      <c r="D141" s="133"/>
      <c r="E141" s="133"/>
      <c r="F141" s="133"/>
      <c r="G141" s="101">
        <f>Source!F141</f>
        <v>239369.03</v>
      </c>
      <c r="H141" s="101"/>
      <c r="I141" s="101">
        <f>Source!P141</f>
        <v>1433820.1</v>
      </c>
      <c r="J141" s="101"/>
    </row>
    <row r="142" spans="1:32" ht="14.25" x14ac:dyDescent="0.2">
      <c r="A142" s="133" t="str">
        <f>Source!H142</f>
        <v>НДС 18%</v>
      </c>
      <c r="B142" s="133"/>
      <c r="C142" s="133"/>
      <c r="D142" s="133"/>
      <c r="E142" s="133"/>
      <c r="F142" s="133"/>
      <c r="G142" s="101">
        <f>Source!F142</f>
        <v>43086.43</v>
      </c>
      <c r="H142" s="101"/>
      <c r="I142" s="101">
        <f>Source!P142</f>
        <v>258087.62</v>
      </c>
      <c r="J142" s="101"/>
    </row>
    <row r="143" spans="1:32" ht="14.25" x14ac:dyDescent="0.2">
      <c r="A143" s="133" t="str">
        <f>Source!H143</f>
        <v>Всего</v>
      </c>
      <c r="B143" s="133"/>
      <c r="C143" s="133"/>
      <c r="D143" s="133"/>
      <c r="E143" s="133"/>
      <c r="F143" s="133"/>
      <c r="G143" s="101">
        <f>Source!F143</f>
        <v>282455.46000000002</v>
      </c>
      <c r="H143" s="101"/>
      <c r="I143" s="101">
        <f>Source!P143</f>
        <v>1691907.72</v>
      </c>
      <c r="J143" s="101"/>
    </row>
    <row r="146" spans="1:10" ht="15" x14ac:dyDescent="0.25">
      <c r="A146" s="82"/>
      <c r="B146" s="67" t="s">
        <v>452</v>
      </c>
      <c r="C146" s="82"/>
      <c r="D146" s="83" t="str">
        <f>IF(Source!AC12&lt;&gt;"", Source!AC12," ")</f>
        <v xml:space="preserve"> </v>
      </c>
      <c r="E146" s="82"/>
      <c r="F146" s="82"/>
      <c r="G146" s="82"/>
      <c r="H146" s="84" t="str">
        <f>IF(Source!AB12&lt;&gt;"", Source!AB12," ")</f>
        <v xml:space="preserve"> </v>
      </c>
      <c r="I146" s="85"/>
      <c r="J146" s="82"/>
    </row>
    <row r="147" spans="1:10" ht="14.25" x14ac:dyDescent="0.2">
      <c r="A147" s="14"/>
      <c r="B147" s="14"/>
      <c r="C147" s="14"/>
      <c r="D147" s="86" t="s">
        <v>453</v>
      </c>
      <c r="E147" s="14"/>
      <c r="F147" s="87" t="s">
        <v>454</v>
      </c>
      <c r="G147" s="14"/>
      <c r="H147" s="117" t="s">
        <v>455</v>
      </c>
      <c r="I147" s="117"/>
      <c r="J147" s="14"/>
    </row>
    <row r="148" spans="1:10" ht="14.25" x14ac:dyDescent="0.2">
      <c r="A148" s="14"/>
      <c r="B148" s="14"/>
      <c r="C148" s="14"/>
      <c r="D148" s="88"/>
      <c r="E148" s="14"/>
      <c r="F148" s="89"/>
      <c r="G148" s="14"/>
      <c r="H148" s="73"/>
      <c r="I148" s="73"/>
      <c r="J148" s="14"/>
    </row>
    <row r="149" spans="1:10" ht="14.25" x14ac:dyDescent="0.2">
      <c r="A149" s="14"/>
      <c r="B149" s="14"/>
      <c r="C149" s="88" t="s">
        <v>427</v>
      </c>
      <c r="D149" s="14"/>
      <c r="E149" s="14"/>
      <c r="F149" s="89"/>
      <c r="G149" s="14"/>
      <c r="H149" s="73"/>
      <c r="I149" s="73"/>
      <c r="J149" s="14"/>
    </row>
    <row r="150" spans="1:10" ht="14.25" x14ac:dyDescent="0.2">
      <c r="A150" s="14"/>
      <c r="B150" s="14"/>
      <c r="C150" s="88"/>
      <c r="D150" s="14"/>
      <c r="E150" s="14"/>
      <c r="F150" s="89"/>
      <c r="G150" s="14"/>
      <c r="H150" s="73"/>
      <c r="I150" s="73"/>
      <c r="J150" s="14"/>
    </row>
    <row r="151" spans="1:10" ht="15" x14ac:dyDescent="0.25">
      <c r="A151" s="14"/>
      <c r="B151" s="67" t="s">
        <v>456</v>
      </c>
      <c r="C151" s="14"/>
      <c r="D151" s="16" t="str">
        <f>IF(Source!AG12&lt;&gt;"", Source!AG12," ")</f>
        <v xml:space="preserve"> </v>
      </c>
      <c r="E151" s="14"/>
      <c r="F151" s="22"/>
      <c r="G151" s="14"/>
      <c r="H151" s="33" t="str">
        <f>IF(Source!AF12&lt;&gt;"", Source!AF12," ")</f>
        <v xml:space="preserve"> </v>
      </c>
      <c r="I151" s="90"/>
      <c r="J151" s="14"/>
    </row>
    <row r="152" spans="1:10" ht="14.25" x14ac:dyDescent="0.2">
      <c r="A152" s="14"/>
      <c r="B152" s="14"/>
      <c r="C152" s="14"/>
      <c r="D152" s="86" t="s">
        <v>453</v>
      </c>
      <c r="E152" s="14"/>
      <c r="F152" s="87" t="s">
        <v>454</v>
      </c>
      <c r="G152" s="14"/>
      <c r="H152" s="117" t="s">
        <v>455</v>
      </c>
      <c r="I152" s="117"/>
      <c r="J152" s="14"/>
    </row>
    <row r="153" spans="1:10" ht="14.25" x14ac:dyDescent="0.2">
      <c r="A153" s="14"/>
      <c r="B153" s="14"/>
      <c r="C153" s="14"/>
      <c r="D153" s="14"/>
      <c r="E153" s="14"/>
      <c r="F153" s="14"/>
      <c r="G153" s="14"/>
      <c r="H153" s="14"/>
      <c r="I153" s="14"/>
      <c r="J153" s="14"/>
    </row>
    <row r="154" spans="1:10" ht="14.25" x14ac:dyDescent="0.2">
      <c r="A154" s="14"/>
      <c r="B154" s="14"/>
      <c r="C154" s="88" t="s">
        <v>427</v>
      </c>
      <c r="D154" s="14"/>
      <c r="E154" s="14"/>
      <c r="F154" s="14"/>
      <c r="G154" s="14"/>
      <c r="H154" s="14"/>
      <c r="I154" s="14"/>
      <c r="J154" s="14"/>
    </row>
    <row r="155" spans="1:10" ht="14.25" x14ac:dyDescent="0.2">
      <c r="A155" s="14"/>
      <c r="B155" s="14"/>
      <c r="C155" s="88"/>
      <c r="D155" s="14"/>
      <c r="E155" s="14"/>
      <c r="F155" s="14"/>
      <c r="G155" s="14"/>
      <c r="H155" s="14"/>
      <c r="I155" s="14"/>
      <c r="J155" s="14"/>
    </row>
    <row r="156" spans="1:10" ht="15" x14ac:dyDescent="0.25">
      <c r="A156" s="14"/>
      <c r="B156" s="31" t="s">
        <v>457</v>
      </c>
      <c r="C156" s="14"/>
      <c r="D156" s="14"/>
      <c r="E156" s="14"/>
      <c r="F156" s="14"/>
      <c r="G156" s="14"/>
      <c r="H156" s="14"/>
      <c r="I156" s="14"/>
      <c r="J156" s="14"/>
    </row>
    <row r="157" spans="1:10" ht="15" x14ac:dyDescent="0.25">
      <c r="A157" s="14"/>
      <c r="B157" s="31" t="s">
        <v>458</v>
      </c>
      <c r="C157" s="14"/>
      <c r="D157" s="14"/>
      <c r="E157" s="14"/>
      <c r="F157" s="14"/>
      <c r="G157" s="14"/>
      <c r="H157" s="14"/>
      <c r="I157" s="14"/>
      <c r="J157" s="14"/>
    </row>
    <row r="158" spans="1:10" ht="15" x14ac:dyDescent="0.25">
      <c r="A158" s="14"/>
      <c r="B158" s="31" t="s">
        <v>459</v>
      </c>
      <c r="C158" s="14"/>
      <c r="D158" s="82"/>
      <c r="E158" s="82"/>
      <c r="F158" s="82"/>
      <c r="G158" s="82"/>
      <c r="H158" s="85"/>
      <c r="I158" s="85"/>
      <c r="J158" s="14"/>
    </row>
    <row r="159" spans="1:10" ht="14.25" x14ac:dyDescent="0.2">
      <c r="A159" s="14"/>
      <c r="B159" s="14"/>
      <c r="C159" s="14"/>
      <c r="D159" s="86" t="s">
        <v>453</v>
      </c>
      <c r="E159" s="14"/>
      <c r="F159" s="87" t="s">
        <v>454</v>
      </c>
      <c r="G159" s="14"/>
      <c r="H159" s="117" t="s">
        <v>455</v>
      </c>
      <c r="I159" s="117"/>
      <c r="J159" s="14"/>
    </row>
  </sheetData>
  <mergeCells count="90">
    <mergeCell ref="H147:I147"/>
    <mergeCell ref="H152:I152"/>
    <mergeCell ref="H159:I159"/>
    <mergeCell ref="A142:F142"/>
    <mergeCell ref="G142:H142"/>
    <mergeCell ref="I142:J142"/>
    <mergeCell ref="A143:F143"/>
    <mergeCell ref="G143:H143"/>
    <mergeCell ref="I143:J143"/>
    <mergeCell ref="A139:F139"/>
    <mergeCell ref="I139:J139"/>
    <mergeCell ref="G139:H139"/>
    <mergeCell ref="A141:F141"/>
    <mergeCell ref="G141:H141"/>
    <mergeCell ref="I141:J141"/>
    <mergeCell ref="A136:F136"/>
    <mergeCell ref="G136:H136"/>
    <mergeCell ref="I136:J136"/>
    <mergeCell ref="A137:F137"/>
    <mergeCell ref="G137:H137"/>
    <mergeCell ref="I137:J137"/>
    <mergeCell ref="G104:H104"/>
    <mergeCell ref="I104:J104"/>
    <mergeCell ref="A135:F135"/>
    <mergeCell ref="G135:H135"/>
    <mergeCell ref="I135:J135"/>
    <mergeCell ref="G114:H114"/>
    <mergeCell ref="I114:J114"/>
    <mergeCell ref="G126:H126"/>
    <mergeCell ref="I126:J126"/>
    <mergeCell ref="G128:H128"/>
    <mergeCell ref="I128:J128"/>
    <mergeCell ref="G130:H130"/>
    <mergeCell ref="I130:J130"/>
    <mergeCell ref="A132:F132"/>
    <mergeCell ref="I132:J132"/>
    <mergeCell ref="G132:H132"/>
    <mergeCell ref="I56:J56"/>
    <mergeCell ref="G81:H81"/>
    <mergeCell ref="I81:J81"/>
    <mergeCell ref="G92:H92"/>
    <mergeCell ref="I92:J92"/>
    <mergeCell ref="G67:H67"/>
    <mergeCell ref="I67:J67"/>
    <mergeCell ref="A26:J26"/>
    <mergeCell ref="A27:J27"/>
    <mergeCell ref="A29:F29"/>
    <mergeCell ref="G29:H29"/>
    <mergeCell ref="G30:H30"/>
    <mergeCell ref="A35:J35"/>
    <mergeCell ref="G44:H44"/>
    <mergeCell ref="I44:J44"/>
    <mergeCell ref="G56:H56"/>
    <mergeCell ref="E18:G18"/>
    <mergeCell ref="I18:J18"/>
    <mergeCell ref="I19:J19"/>
    <mergeCell ref="I20:J20"/>
    <mergeCell ref="F22:F23"/>
    <mergeCell ref="G22:G23"/>
    <mergeCell ref="H22:I22"/>
    <mergeCell ref="A31:B31"/>
    <mergeCell ref="C31:C32"/>
    <mergeCell ref="D31:D32"/>
    <mergeCell ref="E31:E32"/>
    <mergeCell ref="F31:J31"/>
    <mergeCell ref="C15:G15"/>
    <mergeCell ref="I15:J16"/>
    <mergeCell ref="C16:G16"/>
    <mergeCell ref="C17:E17"/>
    <mergeCell ref="F17:H17"/>
    <mergeCell ref="I17:J17"/>
    <mergeCell ref="D11:G11"/>
    <mergeCell ref="I11:J11"/>
    <mergeCell ref="D12:G12"/>
    <mergeCell ref="I12:J12"/>
    <mergeCell ref="D13:G13"/>
    <mergeCell ref="I13:J14"/>
    <mergeCell ref="C14:G14"/>
    <mergeCell ref="I7:J8"/>
    <mergeCell ref="C8:G8"/>
    <mergeCell ref="C9:G9"/>
    <mergeCell ref="I9:J9"/>
    <mergeCell ref="D10:G10"/>
    <mergeCell ref="I10:J10"/>
    <mergeCell ref="I6:J6"/>
    <mergeCell ref="A2:E2"/>
    <mergeCell ref="G2:J2"/>
    <mergeCell ref="F3:J3"/>
    <mergeCell ref="G4:J4"/>
    <mergeCell ref="I5:J5"/>
  </mergeCells>
  <pageMargins left="0.4" right="0.2" top="0.4" bottom="0.4" header="0.2" footer="0.2"/>
  <pageSetup paperSize="9" scale="6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57" t="str">
        <f>Source!B1</f>
        <v>Smeta.RU  (495) 974-1589</v>
      </c>
      <c r="B1" s="157"/>
      <c r="C1" s="157"/>
      <c r="D1" s="157"/>
      <c r="E1" s="14"/>
      <c r="F1" s="14"/>
      <c r="G1" s="14"/>
      <c r="H1" s="115" t="s">
        <v>460</v>
      </c>
      <c r="I1" s="115"/>
      <c r="J1" s="115"/>
      <c r="K1" s="115"/>
      <c r="L1" s="115"/>
    </row>
    <row r="2" spans="1:12" ht="14.25" x14ac:dyDescent="0.2">
      <c r="A2" s="14"/>
      <c r="B2" s="14"/>
      <c r="C2" s="14"/>
      <c r="D2" s="14"/>
      <c r="E2" s="14"/>
      <c r="F2" s="14"/>
      <c r="G2" s="14"/>
      <c r="H2" s="115" t="s">
        <v>375</v>
      </c>
      <c r="I2" s="115"/>
      <c r="J2" s="115"/>
      <c r="K2" s="115"/>
      <c r="L2" s="115"/>
    </row>
    <row r="3" spans="1:12" ht="14.25" x14ac:dyDescent="0.2">
      <c r="A3" s="14"/>
      <c r="B3" s="14"/>
      <c r="C3" s="14"/>
      <c r="D3" s="14"/>
      <c r="E3" s="14"/>
      <c r="F3" s="14"/>
      <c r="G3" s="14"/>
      <c r="H3" s="115" t="s">
        <v>376</v>
      </c>
      <c r="I3" s="115"/>
      <c r="J3" s="115"/>
      <c r="K3" s="115"/>
      <c r="L3" s="115"/>
    </row>
    <row r="4" spans="1:12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10" t="s">
        <v>461</v>
      </c>
      <c r="L4" s="111"/>
    </row>
    <row r="5" spans="1:12" ht="14.25" x14ac:dyDescent="0.2">
      <c r="A5" s="14"/>
      <c r="B5" s="14"/>
      <c r="C5" s="14"/>
      <c r="D5" s="14"/>
      <c r="E5" s="14"/>
      <c r="F5" s="14"/>
      <c r="G5" s="14"/>
      <c r="H5" s="14"/>
      <c r="I5" s="103" t="s">
        <v>378</v>
      </c>
      <c r="J5" s="103"/>
      <c r="K5" s="110">
        <v>322001</v>
      </c>
      <c r="L5" s="111"/>
    </row>
    <row r="6" spans="1:12" ht="14.25" x14ac:dyDescent="0.2">
      <c r="A6" s="103" t="s">
        <v>462</v>
      </c>
      <c r="B6" s="103"/>
      <c r="C6" s="158"/>
      <c r="D6" s="158"/>
      <c r="E6" s="158"/>
      <c r="F6" s="158"/>
      <c r="G6" s="158"/>
      <c r="H6" s="158"/>
      <c r="I6" s="158"/>
      <c r="J6" s="13" t="s">
        <v>381</v>
      </c>
      <c r="K6" s="110"/>
      <c r="L6" s="111"/>
    </row>
    <row r="7" spans="1:12" ht="14.25" x14ac:dyDescent="0.2">
      <c r="A7" s="14"/>
      <c r="B7" s="14"/>
      <c r="C7" s="117" t="s">
        <v>382</v>
      </c>
      <c r="D7" s="117"/>
      <c r="E7" s="117"/>
      <c r="F7" s="117"/>
      <c r="G7" s="117"/>
      <c r="H7" s="117"/>
      <c r="I7" s="117"/>
      <c r="J7" s="14"/>
      <c r="K7" s="59"/>
      <c r="L7" s="91"/>
    </row>
    <row r="8" spans="1:12" ht="14.25" x14ac:dyDescent="0.2">
      <c r="A8" s="103" t="s">
        <v>463</v>
      </c>
      <c r="B8" s="103"/>
      <c r="C8" s="158"/>
      <c r="D8" s="158"/>
      <c r="E8" s="158"/>
      <c r="F8" s="158"/>
      <c r="G8" s="158"/>
      <c r="H8" s="158"/>
      <c r="I8" s="30"/>
      <c r="J8" s="13" t="s">
        <v>381</v>
      </c>
      <c r="K8" s="112"/>
      <c r="L8" s="113"/>
    </row>
    <row r="9" spans="1:12" ht="14.25" x14ac:dyDescent="0.2">
      <c r="A9" s="14"/>
      <c r="B9" s="14"/>
      <c r="C9" s="117" t="s">
        <v>382</v>
      </c>
      <c r="D9" s="117"/>
      <c r="E9" s="117"/>
      <c r="F9" s="117"/>
      <c r="G9" s="117"/>
      <c r="H9" s="117"/>
      <c r="I9" s="117"/>
      <c r="J9" s="14"/>
      <c r="K9" s="59"/>
      <c r="L9" s="91"/>
    </row>
    <row r="10" spans="1:12" ht="14.25" x14ac:dyDescent="0.2">
      <c r="A10" s="103" t="s">
        <v>464</v>
      </c>
      <c r="B10" s="103"/>
      <c r="C10" s="158"/>
      <c r="D10" s="158"/>
      <c r="E10" s="158"/>
      <c r="F10" s="158"/>
      <c r="G10" s="158"/>
      <c r="H10" s="158"/>
      <c r="I10" s="158"/>
      <c r="J10" s="13" t="s">
        <v>381</v>
      </c>
      <c r="K10" s="112"/>
      <c r="L10" s="113"/>
    </row>
    <row r="11" spans="1:12" ht="14.25" x14ac:dyDescent="0.2">
      <c r="A11" s="14"/>
      <c r="B11" s="14"/>
      <c r="C11" s="117" t="s">
        <v>382</v>
      </c>
      <c r="D11" s="117"/>
      <c r="E11" s="117"/>
      <c r="F11" s="117"/>
      <c r="G11" s="117"/>
      <c r="H11" s="117"/>
      <c r="I11" s="117"/>
      <c r="J11" s="14"/>
      <c r="K11" s="59"/>
      <c r="L11" s="91"/>
    </row>
    <row r="12" spans="1:12" ht="14.25" x14ac:dyDescent="0.2">
      <c r="A12" s="103" t="s">
        <v>465</v>
      </c>
      <c r="B12" s="103"/>
      <c r="C12" s="158"/>
      <c r="D12" s="158"/>
      <c r="E12" s="158"/>
      <c r="F12" s="158"/>
      <c r="G12" s="158"/>
      <c r="H12" s="158"/>
      <c r="I12" s="158"/>
      <c r="J12" s="13" t="s">
        <v>381</v>
      </c>
      <c r="K12" s="112"/>
      <c r="L12" s="113"/>
    </row>
    <row r="13" spans="1:12" ht="14.25" x14ac:dyDescent="0.2">
      <c r="A13" s="14"/>
      <c r="B13" s="14"/>
      <c r="C13" s="117" t="s">
        <v>386</v>
      </c>
      <c r="D13" s="117"/>
      <c r="E13" s="117"/>
      <c r="F13" s="117"/>
      <c r="G13" s="117"/>
      <c r="H13" s="103" t="s">
        <v>466</v>
      </c>
      <c r="I13" s="103"/>
      <c r="J13" s="121"/>
      <c r="K13" s="110"/>
      <c r="L13" s="111"/>
    </row>
    <row r="14" spans="1:12" ht="14.25" x14ac:dyDescent="0.2">
      <c r="A14" s="14"/>
      <c r="B14" s="14"/>
      <c r="C14" s="14"/>
      <c r="D14" s="14"/>
      <c r="E14" s="103" t="s">
        <v>467</v>
      </c>
      <c r="F14" s="103"/>
      <c r="G14" s="103"/>
      <c r="H14" s="103"/>
      <c r="I14" s="159" t="s">
        <v>391</v>
      </c>
      <c r="J14" s="160"/>
      <c r="K14" s="110"/>
      <c r="L14" s="111"/>
    </row>
    <row r="15" spans="1:12" ht="14.25" x14ac:dyDescent="0.2">
      <c r="A15" s="14"/>
      <c r="B15" s="14"/>
      <c r="C15" s="14"/>
      <c r="D15" s="14"/>
      <c r="E15" s="14"/>
      <c r="F15" s="14"/>
      <c r="G15" s="14"/>
      <c r="H15" s="14"/>
      <c r="I15" s="161" t="s">
        <v>392</v>
      </c>
      <c r="J15" s="162"/>
      <c r="K15" s="122"/>
      <c r="L15" s="123"/>
    </row>
    <row r="16" spans="1:12" ht="14.25" x14ac:dyDescent="0.2">
      <c r="A16" s="14"/>
      <c r="B16" s="14"/>
      <c r="C16" s="14"/>
      <c r="D16" s="14"/>
      <c r="E16" s="14"/>
      <c r="F16" s="14"/>
      <c r="G16" s="14"/>
      <c r="H16" s="14"/>
      <c r="I16" s="160" t="s">
        <v>468</v>
      </c>
      <c r="J16" s="160"/>
      <c r="K16" s="163"/>
      <c r="L16" s="164"/>
    </row>
    <row r="17" spans="1:1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4.25" x14ac:dyDescent="0.2">
      <c r="A19" s="14"/>
      <c r="B19" s="14"/>
      <c r="C19" s="150" t="s">
        <v>394</v>
      </c>
      <c r="D19" s="165"/>
      <c r="E19" s="150" t="s">
        <v>395</v>
      </c>
      <c r="F19" s="151"/>
      <c r="G19" s="14"/>
      <c r="H19" s="14"/>
      <c r="I19" s="150" t="s">
        <v>396</v>
      </c>
      <c r="J19" s="165"/>
      <c r="K19" s="165"/>
      <c r="L19" s="151"/>
    </row>
    <row r="20" spans="1:12" ht="14.25" x14ac:dyDescent="0.2">
      <c r="A20" s="14"/>
      <c r="B20" s="14"/>
      <c r="C20" s="166"/>
      <c r="D20" s="167"/>
      <c r="E20" s="166"/>
      <c r="F20" s="168"/>
      <c r="G20" s="14"/>
      <c r="H20" s="14"/>
      <c r="I20" s="169" t="s">
        <v>397</v>
      </c>
      <c r="J20" s="170"/>
      <c r="K20" s="169" t="s">
        <v>398</v>
      </c>
      <c r="L20" s="171"/>
    </row>
    <row r="21" spans="1:12" ht="14.25" x14ac:dyDescent="0.2">
      <c r="A21" s="14"/>
      <c r="B21" s="14"/>
      <c r="C21" s="124"/>
      <c r="D21" s="172"/>
      <c r="E21" s="146"/>
      <c r="F21" s="147"/>
      <c r="G21" s="92"/>
      <c r="H21" s="92"/>
      <c r="I21" s="146"/>
      <c r="J21" s="173"/>
      <c r="K21" s="146"/>
      <c r="L21" s="147"/>
    </row>
    <row r="22" spans="1:1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ht="18" x14ac:dyDescent="0.25">
      <c r="A24" s="120" t="s">
        <v>469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</row>
    <row r="25" spans="1:12" ht="18" x14ac:dyDescent="0.25">
      <c r="A25" s="120" t="s">
        <v>470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</row>
    <row r="26" spans="1:12" ht="14.25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ht="14.25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ht="14.25" x14ac:dyDescent="0.2">
      <c r="A28" s="174" t="s">
        <v>354</v>
      </c>
      <c r="B28" s="174" t="s">
        <v>471</v>
      </c>
      <c r="C28" s="176"/>
      <c r="D28" s="176"/>
      <c r="E28" s="176"/>
      <c r="F28" s="174" t="s">
        <v>377</v>
      </c>
      <c r="G28" s="174" t="s">
        <v>472</v>
      </c>
      <c r="H28" s="176"/>
      <c r="I28" s="176"/>
      <c r="J28" s="176"/>
      <c r="K28" s="176"/>
      <c r="L28" s="178"/>
    </row>
    <row r="29" spans="1:12" x14ac:dyDescent="0.2">
      <c r="A29" s="175"/>
      <c r="B29" s="175"/>
      <c r="C29" s="177"/>
      <c r="D29" s="177"/>
      <c r="E29" s="177"/>
      <c r="F29" s="175"/>
      <c r="G29" s="174" t="s">
        <v>473</v>
      </c>
      <c r="H29" s="176"/>
      <c r="I29" s="174" t="s">
        <v>474</v>
      </c>
      <c r="J29" s="176"/>
      <c r="K29" s="174" t="s">
        <v>475</v>
      </c>
      <c r="L29" s="178"/>
    </row>
    <row r="30" spans="1:12" x14ac:dyDescent="0.2">
      <c r="A30" s="175"/>
      <c r="B30" s="175"/>
      <c r="C30" s="177"/>
      <c r="D30" s="177"/>
      <c r="E30" s="177"/>
      <c r="F30" s="175"/>
      <c r="G30" s="175"/>
      <c r="H30" s="177"/>
      <c r="I30" s="175"/>
      <c r="J30" s="177"/>
      <c r="K30" s="175"/>
      <c r="L30" s="179"/>
    </row>
    <row r="31" spans="1:12" x14ac:dyDescent="0.2">
      <c r="A31" s="175"/>
      <c r="B31" s="175"/>
      <c r="C31" s="177"/>
      <c r="D31" s="177"/>
      <c r="E31" s="177"/>
      <c r="F31" s="175"/>
      <c r="G31" s="175"/>
      <c r="H31" s="177"/>
      <c r="I31" s="175"/>
      <c r="J31" s="177"/>
      <c r="K31" s="175"/>
      <c r="L31" s="179"/>
    </row>
    <row r="32" spans="1:12" x14ac:dyDescent="0.2">
      <c r="A32" s="175"/>
      <c r="B32" s="175"/>
      <c r="C32" s="177"/>
      <c r="D32" s="177"/>
      <c r="E32" s="177"/>
      <c r="F32" s="175"/>
      <c r="G32" s="175"/>
      <c r="H32" s="177"/>
      <c r="I32" s="175"/>
      <c r="J32" s="177"/>
      <c r="K32" s="175"/>
      <c r="L32" s="179"/>
    </row>
    <row r="33" spans="1:12" ht="14.25" x14ac:dyDescent="0.2">
      <c r="A33" s="59">
        <v>1</v>
      </c>
      <c r="B33" s="110">
        <v>2</v>
      </c>
      <c r="C33" s="183"/>
      <c r="D33" s="183"/>
      <c r="E33" s="183"/>
      <c r="F33" s="59">
        <v>3</v>
      </c>
      <c r="G33" s="110">
        <v>4</v>
      </c>
      <c r="H33" s="183"/>
      <c r="I33" s="110">
        <v>5</v>
      </c>
      <c r="J33" s="183"/>
      <c r="K33" s="110">
        <v>6</v>
      </c>
      <c r="L33" s="111"/>
    </row>
    <row r="34" spans="1:12" ht="14.25" x14ac:dyDescent="0.2">
      <c r="A34" s="93"/>
      <c r="B34" s="184" t="s">
        <v>476</v>
      </c>
      <c r="C34" s="185"/>
      <c r="D34" s="185"/>
      <c r="E34" s="185"/>
      <c r="F34" s="94"/>
      <c r="G34" s="186"/>
      <c r="H34" s="187"/>
      <c r="I34" s="186"/>
      <c r="J34" s="187"/>
      <c r="K34" s="186"/>
      <c r="L34" s="188"/>
    </row>
    <row r="35" spans="1:12" ht="14.25" x14ac:dyDescent="0.2">
      <c r="A35" s="95"/>
      <c r="B35" s="189" t="s">
        <v>477</v>
      </c>
      <c r="C35" s="190"/>
      <c r="D35" s="190"/>
      <c r="E35" s="190"/>
      <c r="F35" s="190"/>
      <c r="G35" s="190"/>
      <c r="H35" s="190"/>
      <c r="I35" s="190"/>
      <c r="J35" s="190"/>
      <c r="K35" s="185"/>
      <c r="L35" s="191"/>
    </row>
    <row r="36" spans="1:12" ht="14.25" x14ac:dyDescent="0.2">
      <c r="A36" s="160" t="s">
        <v>180</v>
      </c>
      <c r="B36" s="160"/>
      <c r="C36" s="160"/>
      <c r="D36" s="160"/>
      <c r="E36" s="160"/>
      <c r="F36" s="160"/>
      <c r="G36" s="160"/>
      <c r="H36" s="160"/>
      <c r="I36" s="160"/>
      <c r="J36" s="192"/>
      <c r="K36" s="193"/>
      <c r="L36" s="192"/>
    </row>
    <row r="37" spans="1:12" ht="14.25" x14ac:dyDescent="0.2">
      <c r="A37" s="180" t="s">
        <v>478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94"/>
      <c r="L37" s="195"/>
    </row>
    <row r="38" spans="1:12" ht="14.25" x14ac:dyDescent="0.2">
      <c r="A38" s="180" t="s">
        <v>479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1"/>
      <c r="L38" s="182"/>
    </row>
    <row r="39" spans="1:12" ht="14.25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</row>
    <row r="42" spans="1:12" ht="14.25" x14ac:dyDescent="0.2">
      <c r="A42" s="136" t="s">
        <v>463</v>
      </c>
      <c r="B42" s="136"/>
      <c r="C42" s="196"/>
      <c r="D42" s="196"/>
      <c r="E42" s="196"/>
      <c r="F42" s="14"/>
      <c r="G42" s="196"/>
      <c r="H42" s="196"/>
      <c r="I42" s="14"/>
      <c r="J42" s="196"/>
      <c r="K42" s="196"/>
      <c r="L42" s="196"/>
    </row>
    <row r="43" spans="1:12" ht="14.25" x14ac:dyDescent="0.2">
      <c r="A43" s="14"/>
      <c r="B43" s="14"/>
      <c r="C43" s="197" t="s">
        <v>424</v>
      </c>
      <c r="D43" s="197"/>
      <c r="E43" s="197"/>
      <c r="F43" s="14"/>
      <c r="G43" s="197" t="s">
        <v>425</v>
      </c>
      <c r="H43" s="197"/>
      <c r="I43" s="14"/>
      <c r="J43" s="197" t="s">
        <v>426</v>
      </c>
      <c r="K43" s="197"/>
      <c r="L43" s="197"/>
    </row>
    <row r="44" spans="1:12" ht="14.25" x14ac:dyDescent="0.2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</row>
    <row r="45" spans="1:12" ht="14.25" x14ac:dyDescent="0.2">
      <c r="A45" s="13" t="s">
        <v>480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</row>
    <row r="46" spans="1:12" ht="14.25" x14ac:dyDescent="0.2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</row>
    <row r="47" spans="1:12" ht="14.25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</row>
    <row r="48" spans="1:12" ht="14.25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 ht="14.25" x14ac:dyDescent="0.2">
      <c r="A49" s="136" t="s">
        <v>464</v>
      </c>
      <c r="B49" s="136"/>
      <c r="C49" s="196"/>
      <c r="D49" s="196"/>
      <c r="E49" s="196"/>
      <c r="F49" s="14"/>
      <c r="G49" s="196"/>
      <c r="H49" s="196"/>
      <c r="I49" s="14"/>
      <c r="J49" s="196"/>
      <c r="K49" s="196"/>
      <c r="L49" s="196"/>
    </row>
    <row r="50" spans="1:12" ht="14.25" x14ac:dyDescent="0.2">
      <c r="A50" s="14"/>
      <c r="B50" s="14"/>
      <c r="C50" s="197" t="s">
        <v>424</v>
      </c>
      <c r="D50" s="197"/>
      <c r="E50" s="197"/>
      <c r="F50" s="14"/>
      <c r="G50" s="197" t="s">
        <v>425</v>
      </c>
      <c r="H50" s="197"/>
      <c r="I50" s="14"/>
      <c r="J50" s="197" t="s">
        <v>426</v>
      </c>
      <c r="K50" s="197"/>
      <c r="L50" s="197"/>
    </row>
    <row r="51" spans="1:12" ht="14.25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</row>
    <row r="52" spans="1:12" ht="14.25" x14ac:dyDescent="0.2">
      <c r="A52" s="13" t="s">
        <v>480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</row>
  </sheetData>
  <mergeCells count="79">
    <mergeCell ref="A49:B49"/>
    <mergeCell ref="C49:E49"/>
    <mergeCell ref="G49:H49"/>
    <mergeCell ref="J49:L49"/>
    <mergeCell ref="C50:E50"/>
    <mergeCell ref="G50:H50"/>
    <mergeCell ref="J50:L50"/>
    <mergeCell ref="A42:B42"/>
    <mergeCell ref="C42:E42"/>
    <mergeCell ref="G42:H42"/>
    <mergeCell ref="J42:L42"/>
    <mergeCell ref="C43:E43"/>
    <mergeCell ref="G43:H43"/>
    <mergeCell ref="J43:L43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28:A32"/>
    <mergeCell ref="B28:E32"/>
    <mergeCell ref="F28:F32"/>
    <mergeCell ref="G28:L28"/>
    <mergeCell ref="G29:H32"/>
    <mergeCell ref="I29:J32"/>
    <mergeCell ref="K29:L32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C13:G13"/>
    <mergeCell ref="H13:J13"/>
    <mergeCell ref="K13:L13"/>
    <mergeCell ref="E14:H14"/>
    <mergeCell ref="I14:J14"/>
    <mergeCell ref="K14:L1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I5:J5"/>
    <mergeCell ref="K5:L5"/>
    <mergeCell ref="A1:D1"/>
    <mergeCell ref="H1:L1"/>
    <mergeCell ref="H2:L2"/>
    <mergeCell ref="H3:L3"/>
    <mergeCell ref="K4:L4"/>
  </mergeCells>
  <pageMargins left="0.4" right="0.2" top="0.4" bottom="0.4" header="0.2" footer="0.2"/>
  <pageSetup paperSize="9" scale="78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80"/>
  <sheetViews>
    <sheetView workbookViewId="0">
      <selection activeCell="A176" sqref="A176:AH176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174</v>
      </c>
      <c r="C12" s="1">
        <v>0</v>
      </c>
      <c r="D12" s="1">
        <f>ROW(A108)</f>
        <v>108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B108</f>
        <v>174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объект_(Копия)_(Копия)</v>
      </c>
      <c r="G18" s="3" t="str">
        <f t="shared" si="0"/>
        <v>Капитальный ремонт окооных проемов в библиотекеучебного корпуса ДИТИ НИЯУ МИФИ_</v>
      </c>
      <c r="H18" s="3"/>
      <c r="I18" s="3"/>
      <c r="J18" s="3"/>
      <c r="K18" s="3"/>
      <c r="L18" s="3"/>
      <c r="M18" s="3"/>
      <c r="N18" s="3"/>
      <c r="O18" s="3">
        <f t="shared" ref="O18:AT18" si="1">O108</f>
        <v>232998.25</v>
      </c>
      <c r="P18" s="3">
        <f t="shared" si="1"/>
        <v>228447.37</v>
      </c>
      <c r="Q18" s="3">
        <f t="shared" si="1"/>
        <v>529.55999999999995</v>
      </c>
      <c r="R18" s="3">
        <f t="shared" si="1"/>
        <v>164.69</v>
      </c>
      <c r="S18" s="3">
        <f t="shared" si="1"/>
        <v>4021.32</v>
      </c>
      <c r="T18" s="3">
        <f t="shared" si="1"/>
        <v>0</v>
      </c>
      <c r="U18" s="3">
        <f t="shared" si="1"/>
        <v>474.07652999999999</v>
      </c>
      <c r="V18" s="3">
        <f t="shared" si="1"/>
        <v>12.734423999999997</v>
      </c>
      <c r="W18" s="3">
        <f t="shared" si="1"/>
        <v>0</v>
      </c>
      <c r="X18" s="3">
        <f t="shared" si="1"/>
        <v>4041.31</v>
      </c>
      <c r="Y18" s="3">
        <f t="shared" si="1"/>
        <v>2329.4699999999998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239543.75</v>
      </c>
      <c r="AS18" s="3">
        <f t="shared" si="1"/>
        <v>239543.75</v>
      </c>
      <c r="AT18" s="3">
        <f t="shared" si="1"/>
        <v>0</v>
      </c>
      <c r="AU18" s="3">
        <f t="shared" ref="AU18:BZ18" si="2">AU108</f>
        <v>0</v>
      </c>
      <c r="AV18" s="3">
        <f t="shared" si="2"/>
        <v>228447.37</v>
      </c>
      <c r="AW18" s="3">
        <f t="shared" si="2"/>
        <v>228447.37</v>
      </c>
      <c r="AX18" s="3">
        <f t="shared" si="2"/>
        <v>0</v>
      </c>
      <c r="AY18" s="3">
        <f t="shared" si="2"/>
        <v>228447.37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CA108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DG108</f>
        <v>1395659.44</v>
      </c>
      <c r="DH18" s="4">
        <f t="shared" si="4"/>
        <v>1368399.65</v>
      </c>
      <c r="DI18" s="4">
        <f t="shared" si="4"/>
        <v>3172.13</v>
      </c>
      <c r="DJ18" s="4">
        <f t="shared" si="4"/>
        <v>986.45</v>
      </c>
      <c r="DK18" s="4">
        <f t="shared" si="4"/>
        <v>24087.66</v>
      </c>
      <c r="DL18" s="4">
        <f t="shared" si="4"/>
        <v>0</v>
      </c>
      <c r="DM18" s="4">
        <f t="shared" si="4"/>
        <v>474.07652999999999</v>
      </c>
      <c r="DN18" s="4">
        <f t="shared" si="4"/>
        <v>12.734423999999997</v>
      </c>
      <c r="DO18" s="4">
        <f t="shared" si="4"/>
        <v>0</v>
      </c>
      <c r="DP18" s="4">
        <f t="shared" si="4"/>
        <v>24207.3</v>
      </c>
      <c r="DQ18" s="4">
        <f t="shared" si="4"/>
        <v>13953.36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1434866.65</v>
      </c>
      <c r="EK18" s="4">
        <f t="shared" si="4"/>
        <v>1434866.65</v>
      </c>
      <c r="EL18" s="4">
        <f t="shared" si="4"/>
        <v>0</v>
      </c>
      <c r="EM18" s="4">
        <f t="shared" ref="EM18:FR18" si="5">EM108</f>
        <v>0</v>
      </c>
      <c r="EN18" s="4">
        <f t="shared" si="5"/>
        <v>1368399.65</v>
      </c>
      <c r="EO18" s="4">
        <f t="shared" si="5"/>
        <v>1368399.65</v>
      </c>
      <c r="EP18" s="4">
        <f t="shared" si="5"/>
        <v>0</v>
      </c>
      <c r="EQ18" s="4">
        <f t="shared" si="5"/>
        <v>1368399.65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FS108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ROW(A71)</f>
        <v>71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B71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O71</f>
        <v>232998.25</v>
      </c>
      <c r="P22" s="3">
        <f t="shared" si="8"/>
        <v>228447.37</v>
      </c>
      <c r="Q22" s="3">
        <f t="shared" si="8"/>
        <v>529.55999999999995</v>
      </c>
      <c r="R22" s="3">
        <f t="shared" si="8"/>
        <v>164.69</v>
      </c>
      <c r="S22" s="3">
        <f t="shared" si="8"/>
        <v>4021.32</v>
      </c>
      <c r="T22" s="3">
        <f t="shared" si="8"/>
        <v>0</v>
      </c>
      <c r="U22" s="3">
        <f t="shared" si="8"/>
        <v>474.07652999999999</v>
      </c>
      <c r="V22" s="3">
        <f t="shared" si="8"/>
        <v>12.734423999999997</v>
      </c>
      <c r="W22" s="3">
        <f t="shared" si="8"/>
        <v>0</v>
      </c>
      <c r="X22" s="3">
        <f t="shared" si="8"/>
        <v>4041.31</v>
      </c>
      <c r="Y22" s="3">
        <f t="shared" si="8"/>
        <v>2329.4699999999998</v>
      </c>
      <c r="Z22" s="3">
        <f t="shared" si="8"/>
        <v>0</v>
      </c>
      <c r="AA22" s="3">
        <f t="shared" si="8"/>
        <v>0</v>
      </c>
      <c r="AB22" s="3">
        <f t="shared" si="8"/>
        <v>232998.25</v>
      </c>
      <c r="AC22" s="3">
        <f t="shared" si="8"/>
        <v>228447.37</v>
      </c>
      <c r="AD22" s="3">
        <f t="shared" si="8"/>
        <v>529.55999999999995</v>
      </c>
      <c r="AE22" s="3">
        <f t="shared" si="8"/>
        <v>164.69</v>
      </c>
      <c r="AF22" s="3">
        <f t="shared" si="8"/>
        <v>4021.32</v>
      </c>
      <c r="AG22" s="3">
        <f t="shared" si="8"/>
        <v>0</v>
      </c>
      <c r="AH22" s="3">
        <f t="shared" si="8"/>
        <v>474.07652999999999</v>
      </c>
      <c r="AI22" s="3">
        <f t="shared" si="8"/>
        <v>12.734423999999997</v>
      </c>
      <c r="AJ22" s="3">
        <f t="shared" si="8"/>
        <v>0</v>
      </c>
      <c r="AK22" s="3">
        <f t="shared" si="8"/>
        <v>4041.31</v>
      </c>
      <c r="AL22" s="3">
        <f t="shared" si="8"/>
        <v>2329.4699999999998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239543.75</v>
      </c>
      <c r="AS22" s="3">
        <f t="shared" si="8"/>
        <v>239543.75</v>
      </c>
      <c r="AT22" s="3">
        <f t="shared" si="8"/>
        <v>0</v>
      </c>
      <c r="AU22" s="3">
        <f t="shared" ref="AU22:BZ22" si="9">AU71</f>
        <v>0</v>
      </c>
      <c r="AV22" s="3">
        <f t="shared" si="9"/>
        <v>228447.37</v>
      </c>
      <c r="AW22" s="3">
        <f t="shared" si="9"/>
        <v>228447.37</v>
      </c>
      <c r="AX22" s="3">
        <f t="shared" si="9"/>
        <v>0</v>
      </c>
      <c r="AY22" s="3">
        <f t="shared" si="9"/>
        <v>228447.37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CA71</f>
        <v>239543.75</v>
      </c>
      <c r="CB22" s="3">
        <f t="shared" si="10"/>
        <v>239543.75</v>
      </c>
      <c r="CC22" s="3">
        <f t="shared" si="10"/>
        <v>0</v>
      </c>
      <c r="CD22" s="3">
        <f t="shared" si="10"/>
        <v>0</v>
      </c>
      <c r="CE22" s="3">
        <f t="shared" si="10"/>
        <v>228447.37</v>
      </c>
      <c r="CF22" s="3">
        <f t="shared" si="10"/>
        <v>228447.37</v>
      </c>
      <c r="CG22" s="3">
        <f t="shared" si="10"/>
        <v>0</v>
      </c>
      <c r="CH22" s="3">
        <f t="shared" si="10"/>
        <v>228447.37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DG71</f>
        <v>1395659.44</v>
      </c>
      <c r="DH22" s="4">
        <f t="shared" si="11"/>
        <v>1368399.65</v>
      </c>
      <c r="DI22" s="4">
        <f t="shared" si="11"/>
        <v>3172.13</v>
      </c>
      <c r="DJ22" s="4">
        <f t="shared" si="11"/>
        <v>986.45</v>
      </c>
      <c r="DK22" s="4">
        <f t="shared" si="11"/>
        <v>24087.66</v>
      </c>
      <c r="DL22" s="4">
        <f t="shared" si="11"/>
        <v>0</v>
      </c>
      <c r="DM22" s="4">
        <f t="shared" si="11"/>
        <v>474.07652999999999</v>
      </c>
      <c r="DN22" s="4">
        <f t="shared" si="11"/>
        <v>12.734423999999997</v>
      </c>
      <c r="DO22" s="4">
        <f t="shared" si="11"/>
        <v>0</v>
      </c>
      <c r="DP22" s="4">
        <f t="shared" si="11"/>
        <v>24207.3</v>
      </c>
      <c r="DQ22" s="4">
        <f t="shared" si="11"/>
        <v>13953.36</v>
      </c>
      <c r="DR22" s="4">
        <f t="shared" si="11"/>
        <v>0</v>
      </c>
      <c r="DS22" s="4">
        <f t="shared" si="11"/>
        <v>0</v>
      </c>
      <c r="DT22" s="4">
        <f t="shared" si="11"/>
        <v>1395659.44</v>
      </c>
      <c r="DU22" s="4">
        <f t="shared" si="11"/>
        <v>1368399.65</v>
      </c>
      <c r="DV22" s="4">
        <f t="shared" si="11"/>
        <v>3172.13</v>
      </c>
      <c r="DW22" s="4">
        <f t="shared" si="11"/>
        <v>986.45</v>
      </c>
      <c r="DX22" s="4">
        <f t="shared" si="11"/>
        <v>24087.66</v>
      </c>
      <c r="DY22" s="4">
        <f t="shared" si="11"/>
        <v>0</v>
      </c>
      <c r="DZ22" s="4">
        <f t="shared" si="11"/>
        <v>474.07652999999999</v>
      </c>
      <c r="EA22" s="4">
        <f t="shared" si="11"/>
        <v>12.734423999999997</v>
      </c>
      <c r="EB22" s="4">
        <f t="shared" si="11"/>
        <v>0</v>
      </c>
      <c r="EC22" s="4">
        <f t="shared" si="11"/>
        <v>24207.3</v>
      </c>
      <c r="ED22" s="4">
        <f t="shared" si="11"/>
        <v>13953.36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1434866.65</v>
      </c>
      <c r="EK22" s="4">
        <f t="shared" si="11"/>
        <v>1434866.65</v>
      </c>
      <c r="EL22" s="4">
        <f t="shared" si="11"/>
        <v>0</v>
      </c>
      <c r="EM22" s="4">
        <f t="shared" ref="EM22:FR22" si="12">EM71</f>
        <v>0</v>
      </c>
      <c r="EN22" s="4">
        <f t="shared" si="12"/>
        <v>1368399.65</v>
      </c>
      <c r="EO22" s="4">
        <f t="shared" si="12"/>
        <v>1368399.65</v>
      </c>
      <c r="EP22" s="4">
        <f t="shared" si="12"/>
        <v>0</v>
      </c>
      <c r="EQ22" s="4">
        <f t="shared" si="12"/>
        <v>1368399.65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FS71</f>
        <v>1434866.65</v>
      </c>
      <c r="FT22" s="4">
        <f t="shared" si="13"/>
        <v>1434866.65</v>
      </c>
      <c r="FU22" s="4">
        <f t="shared" si="13"/>
        <v>0</v>
      </c>
      <c r="FV22" s="4">
        <f t="shared" si="13"/>
        <v>0</v>
      </c>
      <c r="FW22" s="4">
        <f t="shared" si="13"/>
        <v>1368399.65</v>
      </c>
      <c r="FX22" s="4">
        <f t="shared" si="13"/>
        <v>1368399.65</v>
      </c>
      <c r="FY22" s="4">
        <f t="shared" si="13"/>
        <v>0</v>
      </c>
      <c r="FZ22" s="4">
        <f t="shared" si="13"/>
        <v>1368399.65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ROW(SmtRes!A3)</f>
        <v>3</v>
      </c>
      <c r="D24" s="2">
        <f>ROW(EtalonRes!A3)</f>
        <v>3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ROUND(103.5/100,9)</f>
        <v>1.0349999999999999</v>
      </c>
      <c r="J24" s="2">
        <v>0</v>
      </c>
      <c r="K24" s="2"/>
      <c r="L24" s="2"/>
      <c r="M24" s="2"/>
      <c r="N24" s="2"/>
      <c r="O24" s="2">
        <f t="shared" ref="O24:O65" si="14">ROUND(CP24,2)</f>
        <v>1829.1</v>
      </c>
      <c r="P24" s="2">
        <f t="shared" ref="P24:P65" si="15">ROUND(CQ24*I24,2)</f>
        <v>0</v>
      </c>
      <c r="Q24" s="2">
        <f t="shared" ref="Q24:Q65" si="16">ROUND(CR24*I24,2)</f>
        <v>250.42</v>
      </c>
      <c r="R24" s="2">
        <f t="shared" ref="R24:R65" si="17">ROUND(CS24*I24,2)</f>
        <v>108.15</v>
      </c>
      <c r="S24" s="2">
        <f t="shared" ref="S24:S65" si="18">ROUND(CT24*I24,2)</f>
        <v>1578.68</v>
      </c>
      <c r="T24" s="2">
        <f t="shared" ref="T24:T65" si="19">ROUND(CU24*I24,2)</f>
        <v>0</v>
      </c>
      <c r="U24" s="2">
        <f t="shared" ref="U24:U65" si="20">CV24*I24</f>
        <v>195.13889999999998</v>
      </c>
      <c r="V24" s="2">
        <f t="shared" ref="V24:V65" si="21">CW24*I24</f>
        <v>8.0108999999999995</v>
      </c>
      <c r="W24" s="2">
        <f t="shared" ref="W24:W65" si="22">ROUND(CX24*I24,2)</f>
        <v>0</v>
      </c>
      <c r="X24" s="2">
        <f t="shared" ref="X24:X65" si="23">ROUND(CY24,2)</f>
        <v>1669.96</v>
      </c>
      <c r="Y24" s="2">
        <f t="shared" ref="Y24:Y65" si="24">ROUND(CZ24,2)</f>
        <v>1012.1</v>
      </c>
      <c r="Z24" s="2"/>
      <c r="AA24" s="2">
        <v>16481626</v>
      </c>
      <c r="AB24" s="2">
        <f t="shared" ref="AB24:AB65" si="25">ROUND((AC24+AD24+AF24),6)</f>
        <v>1767.24</v>
      </c>
      <c r="AC24" s="2">
        <f t="shared" ref="AC24:AC65" si="26">ROUND((ES24),6)</f>
        <v>0</v>
      </c>
      <c r="AD24" s="2">
        <f t="shared" ref="AD24:AD65" si="27">ROUND((((ET24)-(EU24))+AE24),6)</f>
        <v>241.95</v>
      </c>
      <c r="AE24" s="2">
        <f t="shared" ref="AE24:AE65" si="28">ROUND((EU24),6)</f>
        <v>104.49</v>
      </c>
      <c r="AF24" s="2">
        <f t="shared" ref="AF24:AF65" si="29">ROUND((EV24),6)</f>
        <v>1525.29</v>
      </c>
      <c r="AG24" s="2">
        <f t="shared" ref="AG24:AG65" si="30">ROUND((AP24),6)</f>
        <v>0</v>
      </c>
      <c r="AH24" s="2">
        <f t="shared" ref="AH24:AH65" si="31">(EW24)</f>
        <v>188.54</v>
      </c>
      <c r="AI24" s="2">
        <f t="shared" ref="AI24:AI65" si="32">(EX24)</f>
        <v>7.74</v>
      </c>
      <c r="AJ24" s="2">
        <f t="shared" ref="AJ24:AJ65" si="33">ROUND((AS24),6)</f>
        <v>0</v>
      </c>
      <c r="AK24" s="2">
        <v>1767.24</v>
      </c>
      <c r="AL24" s="2">
        <v>0</v>
      </c>
      <c r="AM24" s="2">
        <v>241.95</v>
      </c>
      <c r="AN24" s="2">
        <v>104.49</v>
      </c>
      <c r="AO24" s="2">
        <v>1525.29</v>
      </c>
      <c r="AP24" s="2">
        <v>0</v>
      </c>
      <c r="AQ24" s="2">
        <v>188.54</v>
      </c>
      <c r="AR24" s="2">
        <v>7.74</v>
      </c>
      <c r="AS24" s="2">
        <v>0</v>
      </c>
      <c r="AT24" s="2">
        <v>99</v>
      </c>
      <c r="AU24" s="2">
        <v>60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46001</v>
      </c>
      <c r="BN24" s="2">
        <v>0</v>
      </c>
      <c r="BO24" s="2" t="s">
        <v>6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110</v>
      </c>
      <c r="CA24" s="2">
        <v>70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65" si="34">(P24+Q24+S24)</f>
        <v>1829.1000000000001</v>
      </c>
      <c r="CQ24" s="2">
        <f t="shared" ref="CQ24:CQ65" si="35">AC24*BC24</f>
        <v>0</v>
      </c>
      <c r="CR24" s="2">
        <f t="shared" ref="CR24:CR65" si="36">AD24*BB24</f>
        <v>241.95</v>
      </c>
      <c r="CS24" s="2">
        <f t="shared" ref="CS24:CS65" si="37">AE24*BS24</f>
        <v>104.49</v>
      </c>
      <c r="CT24" s="2">
        <f t="shared" ref="CT24:CT65" si="38">AF24*BA24</f>
        <v>1525.29</v>
      </c>
      <c r="CU24" s="2">
        <f t="shared" ref="CU24:CU65" si="39">AG24</f>
        <v>0</v>
      </c>
      <c r="CV24" s="2">
        <f t="shared" ref="CV24:CV65" si="40">AH24</f>
        <v>188.54</v>
      </c>
      <c r="CW24" s="2">
        <f t="shared" ref="CW24:CW65" si="41">AI24</f>
        <v>7.74</v>
      </c>
      <c r="CX24" s="2">
        <f t="shared" ref="CX24:CX65" si="42">AJ24</f>
        <v>0</v>
      </c>
      <c r="CY24" s="2">
        <f t="shared" ref="CY24:CY65" si="43">(((S24+R24)*AT24)/100)</f>
        <v>1669.9617000000001</v>
      </c>
      <c r="CZ24" s="2">
        <f t="shared" ref="CZ24:CZ65" si="44">(((S24+R24)*AU24)/100)</f>
        <v>1012.0980000000001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1005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15139168</v>
      </c>
      <c r="EF24" s="2">
        <v>2</v>
      </c>
      <c r="EG24" s="2" t="s">
        <v>18</v>
      </c>
      <c r="EH24" s="2">
        <v>0</v>
      </c>
      <c r="EI24" s="2" t="s">
        <v>6</v>
      </c>
      <c r="EJ24" s="2">
        <v>1</v>
      </c>
      <c r="EK24" s="2">
        <v>46001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0</v>
      </c>
      <c r="ER24" s="2">
        <v>1767.24</v>
      </c>
      <c r="ES24" s="2">
        <v>0</v>
      </c>
      <c r="ET24" s="2">
        <v>241.95</v>
      </c>
      <c r="EU24" s="2">
        <v>104.49</v>
      </c>
      <c r="EV24" s="2">
        <v>1525.29</v>
      </c>
      <c r="EW24" s="2">
        <v>188.54</v>
      </c>
      <c r="EX24" s="2">
        <v>7.74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69" si="45">ROUND(IF(AND(BH24=3,BI24=3),P24,0),2)</f>
        <v>0</v>
      </c>
      <c r="FS24" s="2">
        <v>0</v>
      </c>
      <c r="FT24" s="2" t="s">
        <v>21</v>
      </c>
      <c r="FU24" s="2" t="s">
        <v>22</v>
      </c>
      <c r="FV24" s="2"/>
      <c r="FW24" s="2"/>
      <c r="FX24" s="2">
        <v>99</v>
      </c>
      <c r="FY24" s="2">
        <v>59.5</v>
      </c>
      <c r="FZ24" s="2"/>
      <c r="GA24" s="2" t="s">
        <v>6</v>
      </c>
      <c r="GB24" s="2"/>
      <c r="GC24" s="2"/>
      <c r="GD24" s="2">
        <v>0</v>
      </c>
      <c r="GE24" s="2"/>
      <c r="GF24" s="2">
        <v>1630687704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69" si="46">ROUND(IF(AND(BH24=3,BI24=3,FS24&lt;&gt;0),P24,0),2)</f>
        <v>0</v>
      </c>
      <c r="GM24" s="2">
        <f t="shared" ref="GM24:GM65" si="47">ROUND(O24+X24+Y24+GK24,2)+GX24</f>
        <v>4511.16</v>
      </c>
      <c r="GN24" s="2">
        <f t="shared" ref="GN24:GN65" si="48">IF(OR(BI24=0,BI24=1),ROUND(O24+X24+Y24+GK24,2),0)</f>
        <v>4511.16</v>
      </c>
      <c r="GO24" s="2">
        <f t="shared" ref="GO24:GO65" si="49">IF(BI24=2,ROUND(O24+X24+Y24+GK24,2),0)</f>
        <v>0</v>
      </c>
      <c r="GP24" s="2">
        <f t="shared" ref="GP24:GP65" si="50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65" si="51">ROUND(GT24,6)</f>
        <v>0</v>
      </c>
      <c r="GW24" s="2">
        <v>1</v>
      </c>
      <c r="GX24" s="2">
        <f t="shared" ref="GX24:GX69" si="52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ROW(SmtRes!A6)</f>
        <v>6</v>
      </c>
      <c r="D25">
        <f>ROW(EtalonRes!A6)</f>
        <v>6</v>
      </c>
      <c r="E25" t="s">
        <v>13</v>
      </c>
      <c r="F25" t="s">
        <v>14</v>
      </c>
      <c r="G25" t="s">
        <v>15</v>
      </c>
      <c r="H25" t="s">
        <v>16</v>
      </c>
      <c r="I25">
        <f>ROUND(103.5/100,9)</f>
        <v>1.0349999999999999</v>
      </c>
      <c r="J25">
        <v>0</v>
      </c>
      <c r="O25">
        <f t="shared" si="14"/>
        <v>10956.27</v>
      </c>
      <c r="P25">
        <f t="shared" si="15"/>
        <v>0</v>
      </c>
      <c r="Q25">
        <f t="shared" si="16"/>
        <v>1500.01</v>
      </c>
      <c r="R25">
        <f t="shared" si="17"/>
        <v>647.79999999999995</v>
      </c>
      <c r="S25">
        <f t="shared" si="18"/>
        <v>9456.26</v>
      </c>
      <c r="T25">
        <f t="shared" si="19"/>
        <v>0</v>
      </c>
      <c r="U25">
        <f t="shared" si="20"/>
        <v>195.13889999999998</v>
      </c>
      <c r="V25">
        <f t="shared" si="21"/>
        <v>8.0108999999999995</v>
      </c>
      <c r="W25">
        <f t="shared" si="22"/>
        <v>0</v>
      </c>
      <c r="X25">
        <f t="shared" si="23"/>
        <v>10003.02</v>
      </c>
      <c r="Y25">
        <f t="shared" si="24"/>
        <v>6062.44</v>
      </c>
      <c r="AA25">
        <v>16481627</v>
      </c>
      <c r="AB25">
        <f t="shared" si="25"/>
        <v>1767.24</v>
      </c>
      <c r="AC25">
        <f t="shared" si="26"/>
        <v>0</v>
      </c>
      <c r="AD25">
        <f t="shared" si="27"/>
        <v>241.95</v>
      </c>
      <c r="AE25">
        <f t="shared" si="28"/>
        <v>104.49</v>
      </c>
      <c r="AF25">
        <f t="shared" si="29"/>
        <v>1525.29</v>
      </c>
      <c r="AG25">
        <f t="shared" si="30"/>
        <v>0</v>
      </c>
      <c r="AH25">
        <f t="shared" si="31"/>
        <v>188.54</v>
      </c>
      <c r="AI25">
        <f t="shared" si="32"/>
        <v>7.74</v>
      </c>
      <c r="AJ25">
        <f t="shared" si="33"/>
        <v>0</v>
      </c>
      <c r="AK25">
        <v>1767.24</v>
      </c>
      <c r="AL25">
        <v>0</v>
      </c>
      <c r="AM25">
        <v>241.95</v>
      </c>
      <c r="AN25">
        <v>104.49</v>
      </c>
      <c r="AO25">
        <v>1525.29</v>
      </c>
      <c r="AP25">
        <v>0</v>
      </c>
      <c r="AQ25">
        <v>188.54</v>
      </c>
      <c r="AR25">
        <v>7.74</v>
      </c>
      <c r="AS25">
        <v>0</v>
      </c>
      <c r="AT25">
        <v>99</v>
      </c>
      <c r="AU25">
        <v>60</v>
      </c>
      <c r="AV25">
        <v>1</v>
      </c>
      <c r="AW25">
        <v>1</v>
      </c>
      <c r="AZ25">
        <v>5.99</v>
      </c>
      <c r="BA25">
        <v>5.99</v>
      </c>
      <c r="BB25">
        <v>5.99</v>
      </c>
      <c r="BC25">
        <v>5.99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46001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5.99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110</v>
      </c>
      <c r="CA25">
        <v>70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34"/>
        <v>10956.27</v>
      </c>
      <c r="CQ25">
        <f t="shared" si="35"/>
        <v>0</v>
      </c>
      <c r="CR25">
        <f t="shared" si="36"/>
        <v>1449.2805000000001</v>
      </c>
      <c r="CS25">
        <f t="shared" si="37"/>
        <v>625.89509999999996</v>
      </c>
      <c r="CT25">
        <f t="shared" si="38"/>
        <v>9136.4871000000003</v>
      </c>
      <c r="CU25">
        <f t="shared" si="39"/>
        <v>0</v>
      </c>
      <c r="CV25">
        <f t="shared" si="40"/>
        <v>188.54</v>
      </c>
      <c r="CW25">
        <f t="shared" si="41"/>
        <v>7.74</v>
      </c>
      <c r="CX25">
        <f t="shared" si="42"/>
        <v>0</v>
      </c>
      <c r="CY25">
        <f t="shared" si="43"/>
        <v>10003.019399999999</v>
      </c>
      <c r="CZ25">
        <f t="shared" si="44"/>
        <v>6062.4359999999997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15139168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46001</v>
      </c>
      <c r="EL25" t="s">
        <v>19</v>
      </c>
      <c r="EM25" t="s">
        <v>20</v>
      </c>
      <c r="EO25" t="s">
        <v>6</v>
      </c>
      <c r="EQ25">
        <v>0</v>
      </c>
      <c r="ER25">
        <v>1767.24</v>
      </c>
      <c r="ES25">
        <v>0</v>
      </c>
      <c r="ET25">
        <v>241.95</v>
      </c>
      <c r="EU25">
        <v>104.49</v>
      </c>
      <c r="EV25">
        <v>1525.29</v>
      </c>
      <c r="EW25">
        <v>188.54</v>
      </c>
      <c r="EX25">
        <v>7.74</v>
      </c>
      <c r="EY25">
        <v>0</v>
      </c>
      <c r="FQ25">
        <v>0</v>
      </c>
      <c r="FR25">
        <f t="shared" si="45"/>
        <v>0</v>
      </c>
      <c r="FS25">
        <v>0</v>
      </c>
      <c r="FT25" t="s">
        <v>21</v>
      </c>
      <c r="FU25" t="s">
        <v>22</v>
      </c>
      <c r="FX25">
        <v>99</v>
      </c>
      <c r="FY25">
        <v>59.5</v>
      </c>
      <c r="GA25" t="s">
        <v>6</v>
      </c>
      <c r="GD25">
        <v>0</v>
      </c>
      <c r="GF25">
        <v>1630687704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6"/>
        <v>0</v>
      </c>
      <c r="GM25">
        <f t="shared" si="47"/>
        <v>27021.73</v>
      </c>
      <c r="GN25">
        <f t="shared" si="48"/>
        <v>27021.73</v>
      </c>
      <c r="GO25">
        <f t="shared" si="49"/>
        <v>0</v>
      </c>
      <c r="GP25">
        <f t="shared" si="50"/>
        <v>0</v>
      </c>
      <c r="GR25">
        <v>0</v>
      </c>
      <c r="GS25">
        <v>3</v>
      </c>
      <c r="GT25">
        <v>0</v>
      </c>
      <c r="GU25" t="s">
        <v>6</v>
      </c>
      <c r="GV25">
        <f t="shared" si="51"/>
        <v>0</v>
      </c>
      <c r="GW25">
        <v>1</v>
      </c>
      <c r="GX25">
        <f t="shared" si="52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ROW(SmtRes!A18)</f>
        <v>18</v>
      </c>
      <c r="D26" s="2">
        <f>ROW(EtalonRes!A17)</f>
        <v>17</v>
      </c>
      <c r="E26" s="2" t="s">
        <v>23</v>
      </c>
      <c r="F26" s="2" t="s">
        <v>24</v>
      </c>
      <c r="G26" s="2" t="s">
        <v>25</v>
      </c>
      <c r="H26" s="2" t="s">
        <v>16</v>
      </c>
      <c r="I26" s="2">
        <f>ROUND(103.5/100,9)</f>
        <v>1.0349999999999999</v>
      </c>
      <c r="J26" s="2">
        <v>0</v>
      </c>
      <c r="K26" s="2"/>
      <c r="L26" s="2"/>
      <c r="M26" s="2"/>
      <c r="N26" s="2"/>
      <c r="O26" s="2">
        <f t="shared" si="14"/>
        <v>10461.67</v>
      </c>
      <c r="P26" s="2">
        <f t="shared" si="15"/>
        <v>8848.24</v>
      </c>
      <c r="Q26" s="2">
        <f t="shared" si="16"/>
        <v>264.14</v>
      </c>
      <c r="R26" s="2">
        <f t="shared" si="17"/>
        <v>52.08</v>
      </c>
      <c r="S26" s="2">
        <f t="shared" si="18"/>
        <v>1349.29</v>
      </c>
      <c r="T26" s="2">
        <f t="shared" si="19"/>
        <v>0</v>
      </c>
      <c r="U26" s="2">
        <f t="shared" si="20"/>
        <v>154.38059999999999</v>
      </c>
      <c r="V26" s="2">
        <f t="shared" si="21"/>
        <v>4.37805</v>
      </c>
      <c r="W26" s="2">
        <f t="shared" si="22"/>
        <v>0</v>
      </c>
      <c r="X26" s="2">
        <f t="shared" si="23"/>
        <v>1485.45</v>
      </c>
      <c r="Y26" s="2">
        <f t="shared" si="24"/>
        <v>756.74</v>
      </c>
      <c r="Z26" s="2"/>
      <c r="AA26" s="2">
        <v>16481626</v>
      </c>
      <c r="AB26" s="2">
        <f t="shared" si="25"/>
        <v>10107.89</v>
      </c>
      <c r="AC26" s="2">
        <f t="shared" si="26"/>
        <v>8549.02</v>
      </c>
      <c r="AD26" s="2">
        <f t="shared" si="27"/>
        <v>255.21</v>
      </c>
      <c r="AE26" s="2">
        <f t="shared" si="28"/>
        <v>50.32</v>
      </c>
      <c r="AF26" s="2">
        <f t="shared" si="29"/>
        <v>1303.6600000000001</v>
      </c>
      <c r="AG26" s="2">
        <f t="shared" si="30"/>
        <v>0</v>
      </c>
      <c r="AH26" s="2">
        <f t="shared" si="31"/>
        <v>149.16</v>
      </c>
      <c r="AI26" s="2">
        <f t="shared" si="32"/>
        <v>4.2300000000000004</v>
      </c>
      <c r="AJ26" s="2">
        <f t="shared" si="33"/>
        <v>0</v>
      </c>
      <c r="AK26" s="2">
        <v>10107.89</v>
      </c>
      <c r="AL26" s="2">
        <v>8549.02</v>
      </c>
      <c r="AM26" s="2">
        <v>255.21</v>
      </c>
      <c r="AN26" s="2">
        <v>50.32</v>
      </c>
      <c r="AO26" s="2">
        <v>1303.6600000000001</v>
      </c>
      <c r="AP26" s="2">
        <v>0</v>
      </c>
      <c r="AQ26" s="2">
        <v>149.16</v>
      </c>
      <c r="AR26" s="2">
        <v>4.2300000000000004</v>
      </c>
      <c r="AS26" s="2">
        <v>0</v>
      </c>
      <c r="AT26" s="2">
        <v>106</v>
      </c>
      <c r="AU26" s="2">
        <v>54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26</v>
      </c>
      <c r="BK26" s="2"/>
      <c r="BL26" s="2"/>
      <c r="BM26" s="2">
        <v>10001</v>
      </c>
      <c r="BN26" s="2">
        <v>0</v>
      </c>
      <c r="BO26" s="2" t="s">
        <v>6</v>
      </c>
      <c r="BP26" s="2">
        <v>0</v>
      </c>
      <c r="BQ26" s="2">
        <v>2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118</v>
      </c>
      <c r="CA26" s="2">
        <v>63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6</v>
      </c>
      <c r="CO26" s="2">
        <v>0</v>
      </c>
      <c r="CP26" s="2">
        <f t="shared" si="34"/>
        <v>10461.669999999998</v>
      </c>
      <c r="CQ26" s="2">
        <f t="shared" si="35"/>
        <v>8549.02</v>
      </c>
      <c r="CR26" s="2">
        <f t="shared" si="36"/>
        <v>255.21</v>
      </c>
      <c r="CS26" s="2">
        <f t="shared" si="37"/>
        <v>50.32</v>
      </c>
      <c r="CT26" s="2">
        <f t="shared" si="38"/>
        <v>1303.6600000000001</v>
      </c>
      <c r="CU26" s="2">
        <f t="shared" si="39"/>
        <v>0</v>
      </c>
      <c r="CV26" s="2">
        <f t="shared" si="40"/>
        <v>149.16</v>
      </c>
      <c r="CW26" s="2">
        <f t="shared" si="41"/>
        <v>4.2300000000000004</v>
      </c>
      <c r="CX26" s="2">
        <f t="shared" si="42"/>
        <v>0</v>
      </c>
      <c r="CY26" s="2">
        <f t="shared" si="43"/>
        <v>1485.4521999999999</v>
      </c>
      <c r="CZ26" s="2">
        <f t="shared" si="44"/>
        <v>756.73979999999995</v>
      </c>
      <c r="DA26" s="2"/>
      <c r="DB26" s="2"/>
      <c r="DC26" s="2" t="s">
        <v>6</v>
      </c>
      <c r="DD26" s="2" t="s">
        <v>6</v>
      </c>
      <c r="DE26" s="2" t="s">
        <v>6</v>
      </c>
      <c r="DF26" s="2" t="s">
        <v>6</v>
      </c>
      <c r="DG26" s="2" t="s">
        <v>6</v>
      </c>
      <c r="DH26" s="2" t="s">
        <v>6</v>
      </c>
      <c r="DI26" s="2" t="s">
        <v>6</v>
      </c>
      <c r="DJ26" s="2" t="s">
        <v>6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16</v>
      </c>
      <c r="DW26" s="2" t="s">
        <v>16</v>
      </c>
      <c r="DX26" s="2">
        <v>100</v>
      </c>
      <c r="DY26" s="2"/>
      <c r="DZ26" s="2"/>
      <c r="EA26" s="2"/>
      <c r="EB26" s="2"/>
      <c r="EC26" s="2"/>
      <c r="ED26" s="2"/>
      <c r="EE26" s="2">
        <v>15139100</v>
      </c>
      <c r="EF26" s="2">
        <v>2</v>
      </c>
      <c r="EG26" s="2" t="s">
        <v>18</v>
      </c>
      <c r="EH26" s="2">
        <v>0</v>
      </c>
      <c r="EI26" s="2" t="s">
        <v>6</v>
      </c>
      <c r="EJ26" s="2">
        <v>1</v>
      </c>
      <c r="EK26" s="2">
        <v>10001</v>
      </c>
      <c r="EL26" s="2" t="s">
        <v>27</v>
      </c>
      <c r="EM26" s="2" t="s">
        <v>28</v>
      </c>
      <c r="EN26" s="2"/>
      <c r="EO26" s="2" t="s">
        <v>6</v>
      </c>
      <c r="EP26" s="2"/>
      <c r="EQ26" s="2">
        <v>0</v>
      </c>
      <c r="ER26" s="2">
        <v>10107.89</v>
      </c>
      <c r="ES26" s="2">
        <v>8549.02</v>
      </c>
      <c r="ET26" s="2">
        <v>255.21</v>
      </c>
      <c r="EU26" s="2">
        <v>50.32</v>
      </c>
      <c r="EV26" s="2">
        <v>1303.6600000000001</v>
      </c>
      <c r="EW26" s="2">
        <v>149.16</v>
      </c>
      <c r="EX26" s="2">
        <v>4.2300000000000004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5"/>
        <v>0</v>
      </c>
      <c r="FS26" s="2">
        <v>0</v>
      </c>
      <c r="FT26" s="2" t="s">
        <v>21</v>
      </c>
      <c r="FU26" s="2" t="s">
        <v>22</v>
      </c>
      <c r="FV26" s="2"/>
      <c r="FW26" s="2"/>
      <c r="FX26" s="2">
        <v>106.2</v>
      </c>
      <c r="FY26" s="2">
        <v>53.55</v>
      </c>
      <c r="FZ26" s="2"/>
      <c r="GA26" s="2" t="s">
        <v>6</v>
      </c>
      <c r="GB26" s="2"/>
      <c r="GC26" s="2"/>
      <c r="GD26" s="2">
        <v>0</v>
      </c>
      <c r="GE26" s="2"/>
      <c r="GF26" s="2">
        <v>-330529066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6"/>
        <v>0</v>
      </c>
      <c r="GM26" s="2">
        <f t="shared" si="47"/>
        <v>12703.86</v>
      </c>
      <c r="GN26" s="2">
        <f t="shared" si="48"/>
        <v>12703.86</v>
      </c>
      <c r="GO26" s="2">
        <f t="shared" si="49"/>
        <v>0</v>
      </c>
      <c r="GP26" s="2">
        <f t="shared" si="50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51"/>
        <v>0</v>
      </c>
      <c r="GW26" s="2">
        <v>1</v>
      </c>
      <c r="GX26" s="2">
        <f t="shared" si="52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ROW(SmtRes!A30)</f>
        <v>30</v>
      </c>
      <c r="D27">
        <f>ROW(EtalonRes!A28)</f>
        <v>28</v>
      </c>
      <c r="E27" t="s">
        <v>23</v>
      </c>
      <c r="F27" t="s">
        <v>24</v>
      </c>
      <c r="G27" t="s">
        <v>25</v>
      </c>
      <c r="H27" t="s">
        <v>16</v>
      </c>
      <c r="I27">
        <f>ROUND(103.5/100,9)</f>
        <v>1.0349999999999999</v>
      </c>
      <c r="J27">
        <v>0</v>
      </c>
      <c r="O27">
        <f t="shared" si="14"/>
        <v>62665.38</v>
      </c>
      <c r="P27">
        <f t="shared" si="15"/>
        <v>53000.93</v>
      </c>
      <c r="Q27">
        <f t="shared" si="16"/>
        <v>1582.21</v>
      </c>
      <c r="R27">
        <f t="shared" si="17"/>
        <v>311.97000000000003</v>
      </c>
      <c r="S27">
        <f t="shared" si="18"/>
        <v>8082.24</v>
      </c>
      <c r="T27">
        <f t="shared" si="19"/>
        <v>0</v>
      </c>
      <c r="U27">
        <f t="shared" si="20"/>
        <v>154.38059999999999</v>
      </c>
      <c r="V27">
        <f t="shared" si="21"/>
        <v>4.37805</v>
      </c>
      <c r="W27">
        <f t="shared" si="22"/>
        <v>0</v>
      </c>
      <c r="X27">
        <f t="shared" si="23"/>
        <v>8897.86</v>
      </c>
      <c r="Y27">
        <f t="shared" si="24"/>
        <v>4532.87</v>
      </c>
      <c r="AA27">
        <v>16481627</v>
      </c>
      <c r="AB27">
        <f t="shared" si="25"/>
        <v>10107.89</v>
      </c>
      <c r="AC27">
        <f t="shared" si="26"/>
        <v>8549.02</v>
      </c>
      <c r="AD27">
        <f t="shared" si="27"/>
        <v>255.21</v>
      </c>
      <c r="AE27">
        <f t="shared" si="28"/>
        <v>50.32</v>
      </c>
      <c r="AF27">
        <f t="shared" si="29"/>
        <v>1303.6600000000001</v>
      </c>
      <c r="AG27">
        <f t="shared" si="30"/>
        <v>0</v>
      </c>
      <c r="AH27">
        <f t="shared" si="31"/>
        <v>149.16</v>
      </c>
      <c r="AI27">
        <f t="shared" si="32"/>
        <v>4.2300000000000004</v>
      </c>
      <c r="AJ27">
        <f t="shared" si="33"/>
        <v>0</v>
      </c>
      <c r="AK27">
        <v>10107.89</v>
      </c>
      <c r="AL27">
        <v>8549.02</v>
      </c>
      <c r="AM27">
        <v>255.21</v>
      </c>
      <c r="AN27">
        <v>50.32</v>
      </c>
      <c r="AO27">
        <v>1303.6600000000001</v>
      </c>
      <c r="AP27">
        <v>0</v>
      </c>
      <c r="AQ27">
        <v>149.16</v>
      </c>
      <c r="AR27">
        <v>4.2300000000000004</v>
      </c>
      <c r="AS27">
        <v>0</v>
      </c>
      <c r="AT27">
        <v>106</v>
      </c>
      <c r="AU27">
        <v>54</v>
      </c>
      <c r="AV27">
        <v>1</v>
      </c>
      <c r="AW27">
        <v>1</v>
      </c>
      <c r="AZ27">
        <v>5.99</v>
      </c>
      <c r="BA27">
        <v>5.99</v>
      </c>
      <c r="BB27">
        <v>5.99</v>
      </c>
      <c r="BC27">
        <v>5.99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26</v>
      </c>
      <c r="BM27">
        <v>10001</v>
      </c>
      <c r="BN27">
        <v>0</v>
      </c>
      <c r="BO27" t="s">
        <v>6</v>
      </c>
      <c r="BP27">
        <v>0</v>
      </c>
      <c r="BQ27">
        <v>2</v>
      </c>
      <c r="BR27">
        <v>0</v>
      </c>
      <c r="BS27">
        <v>5.99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118</v>
      </c>
      <c r="CA27">
        <v>63</v>
      </c>
      <c r="CF27">
        <v>0</v>
      </c>
      <c r="CG27">
        <v>0</v>
      </c>
      <c r="CM27">
        <v>0</v>
      </c>
      <c r="CN27" t="s">
        <v>6</v>
      </c>
      <c r="CO27">
        <v>0</v>
      </c>
      <c r="CP27">
        <f t="shared" si="34"/>
        <v>62665.38</v>
      </c>
      <c r="CQ27">
        <f t="shared" si="35"/>
        <v>51208.629800000002</v>
      </c>
      <c r="CR27">
        <f t="shared" si="36"/>
        <v>1528.7079000000001</v>
      </c>
      <c r="CS27">
        <f t="shared" si="37"/>
        <v>301.41680000000002</v>
      </c>
      <c r="CT27">
        <f t="shared" si="38"/>
        <v>7808.9234000000006</v>
      </c>
      <c r="CU27">
        <f t="shared" si="39"/>
        <v>0</v>
      </c>
      <c r="CV27">
        <f t="shared" si="40"/>
        <v>149.16</v>
      </c>
      <c r="CW27">
        <f t="shared" si="41"/>
        <v>4.2300000000000004</v>
      </c>
      <c r="CX27">
        <f t="shared" si="42"/>
        <v>0</v>
      </c>
      <c r="CY27">
        <f t="shared" si="43"/>
        <v>8897.8625999999986</v>
      </c>
      <c r="CZ27">
        <f t="shared" si="44"/>
        <v>4532.8733999999995</v>
      </c>
      <c r="DC27" t="s">
        <v>6</v>
      </c>
      <c r="DD27" t="s">
        <v>6</v>
      </c>
      <c r="DE27" t="s">
        <v>6</v>
      </c>
      <c r="DF27" t="s">
        <v>6</v>
      </c>
      <c r="DG27" t="s">
        <v>6</v>
      </c>
      <c r="DH27" t="s">
        <v>6</v>
      </c>
      <c r="DI27" t="s">
        <v>6</v>
      </c>
      <c r="DJ27" t="s">
        <v>6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16</v>
      </c>
      <c r="DW27" t="s">
        <v>16</v>
      </c>
      <c r="DX27">
        <v>100</v>
      </c>
      <c r="EE27">
        <v>15139100</v>
      </c>
      <c r="EF27">
        <v>2</v>
      </c>
      <c r="EG27" t="s">
        <v>18</v>
      </c>
      <c r="EH27">
        <v>0</v>
      </c>
      <c r="EI27" t="s">
        <v>6</v>
      </c>
      <c r="EJ27">
        <v>1</v>
      </c>
      <c r="EK27">
        <v>10001</v>
      </c>
      <c r="EL27" t="s">
        <v>27</v>
      </c>
      <c r="EM27" t="s">
        <v>28</v>
      </c>
      <c r="EO27" t="s">
        <v>6</v>
      </c>
      <c r="EQ27">
        <v>0</v>
      </c>
      <c r="ER27">
        <v>10107.89</v>
      </c>
      <c r="ES27">
        <v>8549.02</v>
      </c>
      <c r="ET27">
        <v>255.21</v>
      </c>
      <c r="EU27">
        <v>50.32</v>
      </c>
      <c r="EV27">
        <v>1303.6600000000001</v>
      </c>
      <c r="EW27">
        <v>149.16</v>
      </c>
      <c r="EX27">
        <v>4.2300000000000004</v>
      </c>
      <c r="EY27">
        <v>0</v>
      </c>
      <c r="FQ27">
        <v>0</v>
      </c>
      <c r="FR27">
        <f t="shared" si="45"/>
        <v>0</v>
      </c>
      <c r="FS27">
        <v>0</v>
      </c>
      <c r="FT27" t="s">
        <v>21</v>
      </c>
      <c r="FU27" t="s">
        <v>22</v>
      </c>
      <c r="FX27">
        <v>106.2</v>
      </c>
      <c r="FY27">
        <v>53.55</v>
      </c>
      <c r="GA27" t="s">
        <v>6</v>
      </c>
      <c r="GD27">
        <v>0</v>
      </c>
      <c r="GF27">
        <v>-330529066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6"/>
        <v>0</v>
      </c>
      <c r="GM27">
        <f t="shared" si="47"/>
        <v>76096.11</v>
      </c>
      <c r="GN27">
        <f t="shared" si="48"/>
        <v>76096.11</v>
      </c>
      <c r="GO27">
        <f t="shared" si="49"/>
        <v>0</v>
      </c>
      <c r="GP27">
        <f t="shared" si="50"/>
        <v>0</v>
      </c>
      <c r="GR27">
        <v>0</v>
      </c>
      <c r="GS27">
        <v>3</v>
      </c>
      <c r="GT27">
        <v>0</v>
      </c>
      <c r="GU27" t="s">
        <v>6</v>
      </c>
      <c r="GV27">
        <f t="shared" si="51"/>
        <v>0</v>
      </c>
      <c r="GW27">
        <v>1</v>
      </c>
      <c r="GX27">
        <f t="shared" si="52"/>
        <v>0</v>
      </c>
      <c r="HA27">
        <v>0</v>
      </c>
      <c r="HB27">
        <v>0</v>
      </c>
      <c r="IK27">
        <v>0</v>
      </c>
    </row>
    <row r="28" spans="1:255" x14ac:dyDescent="0.2">
      <c r="A28" s="2">
        <v>18</v>
      </c>
      <c r="B28" s="2">
        <v>1</v>
      </c>
      <c r="C28" s="2">
        <v>16</v>
      </c>
      <c r="D28" s="2"/>
      <c r="E28" s="2" t="s">
        <v>29</v>
      </c>
      <c r="F28" s="2" t="s">
        <v>30</v>
      </c>
      <c r="G28" s="2" t="s">
        <v>31</v>
      </c>
      <c r="H28" s="2" t="s">
        <v>32</v>
      </c>
      <c r="I28" s="2">
        <f>I26*J28</f>
        <v>103.5</v>
      </c>
      <c r="J28" s="2">
        <v>100.00000000000001</v>
      </c>
      <c r="K28" s="2"/>
      <c r="L28" s="2"/>
      <c r="M28" s="2"/>
      <c r="N28" s="2"/>
      <c r="O28" s="2">
        <f t="shared" si="14"/>
        <v>0</v>
      </c>
      <c r="P28" s="2">
        <f t="shared" si="15"/>
        <v>0</v>
      </c>
      <c r="Q28" s="2">
        <f t="shared" si="16"/>
        <v>0</v>
      </c>
      <c r="R28" s="2">
        <f t="shared" si="17"/>
        <v>0</v>
      </c>
      <c r="S28" s="2">
        <f t="shared" si="18"/>
        <v>0</v>
      </c>
      <c r="T28" s="2">
        <f t="shared" si="19"/>
        <v>0</v>
      </c>
      <c r="U28" s="2">
        <f t="shared" si="20"/>
        <v>0</v>
      </c>
      <c r="V28" s="2">
        <f t="shared" si="21"/>
        <v>0</v>
      </c>
      <c r="W28" s="2">
        <f t="shared" si="22"/>
        <v>0</v>
      </c>
      <c r="X28" s="2">
        <f t="shared" si="23"/>
        <v>0</v>
      </c>
      <c r="Y28" s="2">
        <f t="shared" si="24"/>
        <v>0</v>
      </c>
      <c r="Z28" s="2"/>
      <c r="AA28" s="2">
        <v>16481626</v>
      </c>
      <c r="AB28" s="2">
        <f t="shared" si="25"/>
        <v>0</v>
      </c>
      <c r="AC28" s="2">
        <f t="shared" si="26"/>
        <v>0</v>
      </c>
      <c r="AD28" s="2">
        <f t="shared" si="27"/>
        <v>0</v>
      </c>
      <c r="AE28" s="2">
        <f t="shared" si="28"/>
        <v>0</v>
      </c>
      <c r="AF28" s="2">
        <f t="shared" si="29"/>
        <v>0</v>
      </c>
      <c r="AG28" s="2">
        <f t="shared" si="30"/>
        <v>0</v>
      </c>
      <c r="AH28" s="2">
        <f t="shared" si="31"/>
        <v>0</v>
      </c>
      <c r="AI28" s="2">
        <f t="shared" si="32"/>
        <v>0</v>
      </c>
      <c r="AJ28" s="2">
        <f t="shared" si="33"/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106</v>
      </c>
      <c r="AU28" s="2">
        <v>54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3</v>
      </c>
      <c r="BI28" s="2">
        <v>1</v>
      </c>
      <c r="BJ28" s="2" t="s">
        <v>6</v>
      </c>
      <c r="BK28" s="2"/>
      <c r="BL28" s="2"/>
      <c r="BM28" s="2">
        <v>10001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118</v>
      </c>
      <c r="CA28" s="2">
        <v>63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si="34"/>
        <v>0</v>
      </c>
      <c r="CQ28" s="2">
        <f t="shared" si="35"/>
        <v>0</v>
      </c>
      <c r="CR28" s="2">
        <f t="shared" si="36"/>
        <v>0</v>
      </c>
      <c r="CS28" s="2">
        <f t="shared" si="37"/>
        <v>0</v>
      </c>
      <c r="CT28" s="2">
        <f t="shared" si="38"/>
        <v>0</v>
      </c>
      <c r="CU28" s="2">
        <f t="shared" si="39"/>
        <v>0</v>
      </c>
      <c r="CV28" s="2">
        <f t="shared" si="40"/>
        <v>0</v>
      </c>
      <c r="CW28" s="2">
        <f t="shared" si="41"/>
        <v>0</v>
      </c>
      <c r="CX28" s="2">
        <f t="shared" si="42"/>
        <v>0</v>
      </c>
      <c r="CY28" s="2">
        <f t="shared" si="43"/>
        <v>0</v>
      </c>
      <c r="CZ28" s="2">
        <f t="shared" si="44"/>
        <v>0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32</v>
      </c>
      <c r="DW28" s="2" t="s">
        <v>32</v>
      </c>
      <c r="DX28" s="2">
        <v>1</v>
      </c>
      <c r="DY28" s="2"/>
      <c r="DZ28" s="2"/>
      <c r="EA28" s="2"/>
      <c r="EB28" s="2"/>
      <c r="EC28" s="2"/>
      <c r="ED28" s="2"/>
      <c r="EE28" s="2">
        <v>15139100</v>
      </c>
      <c r="EF28" s="2">
        <v>2</v>
      </c>
      <c r="EG28" s="2" t="s">
        <v>18</v>
      </c>
      <c r="EH28" s="2">
        <v>0</v>
      </c>
      <c r="EI28" s="2" t="s">
        <v>6</v>
      </c>
      <c r="EJ28" s="2">
        <v>1</v>
      </c>
      <c r="EK28" s="2">
        <v>10001</v>
      </c>
      <c r="EL28" s="2" t="s">
        <v>27</v>
      </c>
      <c r="EM28" s="2" t="s">
        <v>28</v>
      </c>
      <c r="EN28" s="2"/>
      <c r="EO28" s="2" t="s">
        <v>6</v>
      </c>
      <c r="EP28" s="2"/>
      <c r="EQ28" s="2">
        <v>0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0</v>
      </c>
      <c r="EX28" s="2">
        <v>0</v>
      </c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5"/>
        <v>0</v>
      </c>
      <c r="FS28" s="2">
        <v>0</v>
      </c>
      <c r="FT28" s="2" t="s">
        <v>21</v>
      </c>
      <c r="FU28" s="2" t="s">
        <v>22</v>
      </c>
      <c r="FV28" s="2"/>
      <c r="FW28" s="2"/>
      <c r="FX28" s="2">
        <v>106.2</v>
      </c>
      <c r="FY28" s="2">
        <v>53.55</v>
      </c>
      <c r="FZ28" s="2"/>
      <c r="GA28" s="2" t="s">
        <v>6</v>
      </c>
      <c r="GB28" s="2"/>
      <c r="GC28" s="2"/>
      <c r="GD28" s="2">
        <v>0</v>
      </c>
      <c r="GE28" s="2"/>
      <c r="GF28" s="2">
        <v>1219964505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6"/>
        <v>0</v>
      </c>
      <c r="GM28" s="2">
        <f t="shared" si="47"/>
        <v>0</v>
      </c>
      <c r="GN28" s="2">
        <f t="shared" si="48"/>
        <v>0</v>
      </c>
      <c r="GO28" s="2">
        <f t="shared" si="49"/>
        <v>0</v>
      </c>
      <c r="GP28" s="2">
        <f t="shared" si="50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51"/>
        <v>0</v>
      </c>
      <c r="GW28" s="2">
        <v>1</v>
      </c>
      <c r="GX28" s="2">
        <f t="shared" si="52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18</v>
      </c>
      <c r="B29">
        <v>1</v>
      </c>
      <c r="C29">
        <v>28</v>
      </c>
      <c r="E29" t="s">
        <v>29</v>
      </c>
      <c r="F29" t="s">
        <v>30</v>
      </c>
      <c r="G29" t="s">
        <v>31</v>
      </c>
      <c r="H29" t="s">
        <v>32</v>
      </c>
      <c r="I29">
        <f>I27*J29</f>
        <v>103.5</v>
      </c>
      <c r="J29">
        <v>100.00000000000001</v>
      </c>
      <c r="O29">
        <f t="shared" si="14"/>
        <v>0</v>
      </c>
      <c r="P29">
        <f t="shared" si="15"/>
        <v>0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16481627</v>
      </c>
      <c r="AB29">
        <f t="shared" si="25"/>
        <v>0</v>
      </c>
      <c r="AC29">
        <f t="shared" si="26"/>
        <v>0</v>
      </c>
      <c r="AD29">
        <f t="shared" si="27"/>
        <v>0</v>
      </c>
      <c r="AE29">
        <f t="shared" si="28"/>
        <v>0</v>
      </c>
      <c r="AF29">
        <f t="shared" si="29"/>
        <v>0</v>
      </c>
      <c r="AG29">
        <f t="shared" si="30"/>
        <v>0</v>
      </c>
      <c r="AH29">
        <f t="shared" si="31"/>
        <v>0</v>
      </c>
      <c r="AI29">
        <f t="shared" si="32"/>
        <v>0</v>
      </c>
      <c r="AJ29">
        <f t="shared" si="33"/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106</v>
      </c>
      <c r="AU29">
        <v>54</v>
      </c>
      <c r="AV29">
        <v>1</v>
      </c>
      <c r="AW29">
        <v>1</v>
      </c>
      <c r="AZ29">
        <v>5.99</v>
      </c>
      <c r="BA29">
        <v>1</v>
      </c>
      <c r="BB29">
        <v>1</v>
      </c>
      <c r="BC29">
        <v>5.99</v>
      </c>
      <c r="BD29" t="s">
        <v>6</v>
      </c>
      <c r="BE29" t="s">
        <v>6</v>
      </c>
      <c r="BF29" t="s">
        <v>6</v>
      </c>
      <c r="BG29" t="s">
        <v>6</v>
      </c>
      <c r="BH29">
        <v>3</v>
      </c>
      <c r="BI29">
        <v>1</v>
      </c>
      <c r="BJ29" t="s">
        <v>6</v>
      </c>
      <c r="BM29">
        <v>10001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118</v>
      </c>
      <c r="CA29">
        <v>63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4"/>
        <v>0</v>
      </c>
      <c r="CQ29">
        <f t="shared" si="35"/>
        <v>0</v>
      </c>
      <c r="CR29">
        <f t="shared" si="36"/>
        <v>0</v>
      </c>
      <c r="CS29">
        <f t="shared" si="37"/>
        <v>0</v>
      </c>
      <c r="CT29">
        <f t="shared" si="38"/>
        <v>0</v>
      </c>
      <c r="CU29">
        <f t="shared" si="39"/>
        <v>0</v>
      </c>
      <c r="CV29">
        <f t="shared" si="40"/>
        <v>0</v>
      </c>
      <c r="CW29">
        <f t="shared" si="41"/>
        <v>0</v>
      </c>
      <c r="CX29">
        <f t="shared" si="42"/>
        <v>0</v>
      </c>
      <c r="CY29">
        <f t="shared" si="43"/>
        <v>0</v>
      </c>
      <c r="CZ29">
        <f t="shared" si="44"/>
        <v>0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32</v>
      </c>
      <c r="DW29" t="s">
        <v>32</v>
      </c>
      <c r="DX29">
        <v>1</v>
      </c>
      <c r="EE29">
        <v>15139100</v>
      </c>
      <c r="EF29">
        <v>2</v>
      </c>
      <c r="EG29" t="s">
        <v>18</v>
      </c>
      <c r="EH29">
        <v>0</v>
      </c>
      <c r="EI29" t="s">
        <v>6</v>
      </c>
      <c r="EJ29">
        <v>1</v>
      </c>
      <c r="EK29">
        <v>10001</v>
      </c>
      <c r="EL29" t="s">
        <v>27</v>
      </c>
      <c r="EM29" t="s">
        <v>28</v>
      </c>
      <c r="EO29" t="s">
        <v>6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45"/>
        <v>0</v>
      </c>
      <c r="FS29">
        <v>0</v>
      </c>
      <c r="FT29" t="s">
        <v>21</v>
      </c>
      <c r="FU29" t="s">
        <v>22</v>
      </c>
      <c r="FX29">
        <v>106.2</v>
      </c>
      <c r="FY29">
        <v>53.55</v>
      </c>
      <c r="GA29" t="s">
        <v>6</v>
      </c>
      <c r="GD29">
        <v>0</v>
      </c>
      <c r="GF29">
        <v>1219964505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6"/>
        <v>0</v>
      </c>
      <c r="GM29">
        <f t="shared" si="47"/>
        <v>0</v>
      </c>
      <c r="GN29">
        <f t="shared" si="48"/>
        <v>0</v>
      </c>
      <c r="GO29">
        <f t="shared" si="49"/>
        <v>0</v>
      </c>
      <c r="GP29">
        <f t="shared" si="50"/>
        <v>0</v>
      </c>
      <c r="GR29">
        <v>0</v>
      </c>
      <c r="GS29">
        <v>3</v>
      </c>
      <c r="GT29">
        <v>0</v>
      </c>
      <c r="GU29" t="s">
        <v>6</v>
      </c>
      <c r="GV29">
        <f t="shared" si="51"/>
        <v>0</v>
      </c>
      <c r="GW29">
        <v>1</v>
      </c>
      <c r="GX29">
        <f t="shared" si="52"/>
        <v>0</v>
      </c>
      <c r="HA29">
        <v>0</v>
      </c>
      <c r="HB29">
        <v>0</v>
      </c>
      <c r="IK29">
        <v>0</v>
      </c>
    </row>
    <row r="30" spans="1:255" x14ac:dyDescent="0.2">
      <c r="A30" s="2">
        <v>18</v>
      </c>
      <c r="B30" s="2">
        <v>1</v>
      </c>
      <c r="C30" s="2">
        <v>15</v>
      </c>
      <c r="D30" s="2"/>
      <c r="E30" s="2" t="s">
        <v>33</v>
      </c>
      <c r="F30" s="2" t="s">
        <v>34</v>
      </c>
      <c r="G30" s="2" t="s">
        <v>35</v>
      </c>
      <c r="H30" s="2" t="s">
        <v>32</v>
      </c>
      <c r="I30" s="2">
        <f>I26*J30</f>
        <v>103.5</v>
      </c>
      <c r="J30" s="2">
        <v>100.00000000000001</v>
      </c>
      <c r="K30" s="2"/>
      <c r="L30" s="2"/>
      <c r="M30" s="2"/>
      <c r="N30" s="2"/>
      <c r="O30" s="2">
        <f t="shared" si="14"/>
        <v>214698.33</v>
      </c>
      <c r="P30" s="2">
        <f t="shared" si="15"/>
        <v>214698.33</v>
      </c>
      <c r="Q30" s="2">
        <f t="shared" si="16"/>
        <v>0</v>
      </c>
      <c r="R30" s="2">
        <f t="shared" si="17"/>
        <v>0</v>
      </c>
      <c r="S30" s="2">
        <f t="shared" si="18"/>
        <v>0</v>
      </c>
      <c r="T30" s="2">
        <f t="shared" si="19"/>
        <v>0</v>
      </c>
      <c r="U30" s="2">
        <f t="shared" si="20"/>
        <v>0</v>
      </c>
      <c r="V30" s="2">
        <f t="shared" si="21"/>
        <v>0</v>
      </c>
      <c r="W30" s="2">
        <f t="shared" si="22"/>
        <v>0</v>
      </c>
      <c r="X30" s="2">
        <f t="shared" si="23"/>
        <v>0</v>
      </c>
      <c r="Y30" s="2">
        <f t="shared" si="24"/>
        <v>0</v>
      </c>
      <c r="Z30" s="2"/>
      <c r="AA30" s="2">
        <v>16481626</v>
      </c>
      <c r="AB30" s="2">
        <f t="shared" si="25"/>
        <v>2074.38</v>
      </c>
      <c r="AC30" s="2">
        <f t="shared" si="26"/>
        <v>2074.38</v>
      </c>
      <c r="AD30" s="2">
        <f t="shared" si="27"/>
        <v>0</v>
      </c>
      <c r="AE30" s="2">
        <f t="shared" si="28"/>
        <v>0</v>
      </c>
      <c r="AF30" s="2">
        <f t="shared" si="29"/>
        <v>0</v>
      </c>
      <c r="AG30" s="2">
        <f t="shared" si="30"/>
        <v>0</v>
      </c>
      <c r="AH30" s="2">
        <f t="shared" si="31"/>
        <v>0</v>
      </c>
      <c r="AI30" s="2">
        <f t="shared" si="32"/>
        <v>0</v>
      </c>
      <c r="AJ30" s="2">
        <f t="shared" si="33"/>
        <v>0</v>
      </c>
      <c r="AK30" s="2">
        <v>2074.38</v>
      </c>
      <c r="AL30" s="2">
        <v>2074.38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106</v>
      </c>
      <c r="AU30" s="2">
        <v>54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3</v>
      </c>
      <c r="BI30" s="2">
        <v>1</v>
      </c>
      <c r="BJ30" s="2" t="s">
        <v>36</v>
      </c>
      <c r="BK30" s="2"/>
      <c r="BL30" s="2"/>
      <c r="BM30" s="2">
        <v>10001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118</v>
      </c>
      <c r="CA30" s="2">
        <v>63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34"/>
        <v>214698.33</v>
      </c>
      <c r="CQ30" s="2">
        <f t="shared" si="35"/>
        <v>2074.38</v>
      </c>
      <c r="CR30" s="2">
        <f t="shared" si="36"/>
        <v>0</v>
      </c>
      <c r="CS30" s="2">
        <f t="shared" si="37"/>
        <v>0</v>
      </c>
      <c r="CT30" s="2">
        <f t="shared" si="38"/>
        <v>0</v>
      </c>
      <c r="CU30" s="2">
        <f t="shared" si="39"/>
        <v>0</v>
      </c>
      <c r="CV30" s="2">
        <f t="shared" si="40"/>
        <v>0</v>
      </c>
      <c r="CW30" s="2">
        <f t="shared" si="41"/>
        <v>0</v>
      </c>
      <c r="CX30" s="2">
        <f t="shared" si="42"/>
        <v>0</v>
      </c>
      <c r="CY30" s="2">
        <f t="shared" si="43"/>
        <v>0</v>
      </c>
      <c r="CZ30" s="2">
        <f t="shared" si="44"/>
        <v>0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1005</v>
      </c>
      <c r="DV30" s="2" t="s">
        <v>32</v>
      </c>
      <c r="DW30" s="2" t="s">
        <v>32</v>
      </c>
      <c r="DX30" s="2">
        <v>1</v>
      </c>
      <c r="DY30" s="2"/>
      <c r="DZ30" s="2"/>
      <c r="EA30" s="2"/>
      <c r="EB30" s="2"/>
      <c r="EC30" s="2"/>
      <c r="ED30" s="2"/>
      <c r="EE30" s="2">
        <v>15139100</v>
      </c>
      <c r="EF30" s="2">
        <v>2</v>
      </c>
      <c r="EG30" s="2" t="s">
        <v>18</v>
      </c>
      <c r="EH30" s="2">
        <v>0</v>
      </c>
      <c r="EI30" s="2" t="s">
        <v>6</v>
      </c>
      <c r="EJ30" s="2">
        <v>1</v>
      </c>
      <c r="EK30" s="2">
        <v>10001</v>
      </c>
      <c r="EL30" s="2" t="s">
        <v>27</v>
      </c>
      <c r="EM30" s="2" t="s">
        <v>28</v>
      </c>
      <c r="EN30" s="2"/>
      <c r="EO30" s="2" t="s">
        <v>6</v>
      </c>
      <c r="EP30" s="2"/>
      <c r="EQ30" s="2">
        <v>0</v>
      </c>
      <c r="ER30" s="2">
        <v>2074.38</v>
      </c>
      <c r="ES30" s="2">
        <v>2074.38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5"/>
        <v>0</v>
      </c>
      <c r="FS30" s="2">
        <v>0</v>
      </c>
      <c r="FT30" s="2" t="s">
        <v>21</v>
      </c>
      <c r="FU30" s="2" t="s">
        <v>22</v>
      </c>
      <c r="FV30" s="2"/>
      <c r="FW30" s="2"/>
      <c r="FX30" s="2">
        <v>106.2</v>
      </c>
      <c r="FY30" s="2">
        <v>53.55</v>
      </c>
      <c r="FZ30" s="2"/>
      <c r="GA30" s="2" t="s">
        <v>6</v>
      </c>
      <c r="GB30" s="2"/>
      <c r="GC30" s="2"/>
      <c r="GD30" s="2">
        <v>0</v>
      </c>
      <c r="GE30" s="2"/>
      <c r="GF30" s="2">
        <v>2097510584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6"/>
        <v>0</v>
      </c>
      <c r="GM30" s="2">
        <f t="shared" si="47"/>
        <v>214698.33</v>
      </c>
      <c r="GN30" s="2">
        <f t="shared" si="48"/>
        <v>214698.33</v>
      </c>
      <c r="GO30" s="2">
        <f t="shared" si="49"/>
        <v>0</v>
      </c>
      <c r="GP30" s="2">
        <f t="shared" si="50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1"/>
        <v>0</v>
      </c>
      <c r="GW30" s="2">
        <v>1</v>
      </c>
      <c r="GX30" s="2">
        <f t="shared" si="52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18</v>
      </c>
      <c r="B31">
        <v>1</v>
      </c>
      <c r="C31">
        <v>27</v>
      </c>
      <c r="E31" t="s">
        <v>33</v>
      </c>
      <c r="F31" t="s">
        <v>34</v>
      </c>
      <c r="G31" t="s">
        <v>35</v>
      </c>
      <c r="H31" t="s">
        <v>32</v>
      </c>
      <c r="I31">
        <f>I27*J31</f>
        <v>103.5</v>
      </c>
      <c r="J31">
        <v>100.00000000000001</v>
      </c>
      <c r="O31">
        <f t="shared" si="14"/>
        <v>1286043</v>
      </c>
      <c r="P31">
        <f t="shared" si="15"/>
        <v>1286043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16481627</v>
      </c>
      <c r="AB31">
        <f t="shared" si="25"/>
        <v>2074.38</v>
      </c>
      <c r="AC31">
        <f t="shared" si="26"/>
        <v>2074.38</v>
      </c>
      <c r="AD31">
        <f t="shared" si="27"/>
        <v>0</v>
      </c>
      <c r="AE31">
        <f t="shared" si="28"/>
        <v>0</v>
      </c>
      <c r="AF31">
        <f t="shared" si="29"/>
        <v>0</v>
      </c>
      <c r="AG31">
        <f t="shared" si="30"/>
        <v>0</v>
      </c>
      <c r="AH31">
        <f t="shared" si="31"/>
        <v>0</v>
      </c>
      <c r="AI31">
        <f t="shared" si="32"/>
        <v>0</v>
      </c>
      <c r="AJ31">
        <f t="shared" si="33"/>
        <v>0</v>
      </c>
      <c r="AK31">
        <v>2074.38</v>
      </c>
      <c r="AL31">
        <v>2074.38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106</v>
      </c>
      <c r="AU31">
        <v>54</v>
      </c>
      <c r="AV31">
        <v>1</v>
      </c>
      <c r="AW31">
        <v>1</v>
      </c>
      <c r="AZ31">
        <v>5.99</v>
      </c>
      <c r="BA31">
        <v>1</v>
      </c>
      <c r="BB31">
        <v>1</v>
      </c>
      <c r="BC31">
        <v>5.99</v>
      </c>
      <c r="BD31" t="s">
        <v>6</v>
      </c>
      <c r="BE31" t="s">
        <v>6</v>
      </c>
      <c r="BF31" t="s">
        <v>6</v>
      </c>
      <c r="BG31" t="s">
        <v>6</v>
      </c>
      <c r="BH31">
        <v>3</v>
      </c>
      <c r="BI31">
        <v>1</v>
      </c>
      <c r="BJ31" t="s">
        <v>36</v>
      </c>
      <c r="BM31">
        <v>10001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118</v>
      </c>
      <c r="CA31">
        <v>63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4"/>
        <v>1286043</v>
      </c>
      <c r="CQ31">
        <f t="shared" si="35"/>
        <v>12425.5362</v>
      </c>
      <c r="CR31">
        <f t="shared" si="36"/>
        <v>0</v>
      </c>
      <c r="CS31">
        <f t="shared" si="37"/>
        <v>0</v>
      </c>
      <c r="CT31">
        <f t="shared" si="38"/>
        <v>0</v>
      </c>
      <c r="CU31">
        <f t="shared" si="39"/>
        <v>0</v>
      </c>
      <c r="CV31">
        <f t="shared" si="40"/>
        <v>0</v>
      </c>
      <c r="CW31">
        <f t="shared" si="41"/>
        <v>0</v>
      </c>
      <c r="CX31">
        <f t="shared" si="42"/>
        <v>0</v>
      </c>
      <c r="CY31">
        <f t="shared" si="43"/>
        <v>0</v>
      </c>
      <c r="CZ31">
        <f t="shared" si="44"/>
        <v>0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32</v>
      </c>
      <c r="DW31" t="s">
        <v>32</v>
      </c>
      <c r="DX31">
        <v>1</v>
      </c>
      <c r="EE31">
        <v>15139100</v>
      </c>
      <c r="EF31">
        <v>2</v>
      </c>
      <c r="EG31" t="s">
        <v>18</v>
      </c>
      <c r="EH31">
        <v>0</v>
      </c>
      <c r="EI31" t="s">
        <v>6</v>
      </c>
      <c r="EJ31">
        <v>1</v>
      </c>
      <c r="EK31">
        <v>10001</v>
      </c>
      <c r="EL31" t="s">
        <v>27</v>
      </c>
      <c r="EM31" t="s">
        <v>28</v>
      </c>
      <c r="EO31" t="s">
        <v>6</v>
      </c>
      <c r="EQ31">
        <v>0</v>
      </c>
      <c r="ER31">
        <v>2074.38</v>
      </c>
      <c r="ES31">
        <v>2074.38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45"/>
        <v>0</v>
      </c>
      <c r="FS31">
        <v>0</v>
      </c>
      <c r="FT31" t="s">
        <v>21</v>
      </c>
      <c r="FU31" t="s">
        <v>22</v>
      </c>
      <c r="FX31">
        <v>106.2</v>
      </c>
      <c r="FY31">
        <v>53.55</v>
      </c>
      <c r="GA31" t="s">
        <v>6</v>
      </c>
      <c r="GD31">
        <v>0</v>
      </c>
      <c r="GF31">
        <v>2097510584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6"/>
        <v>0</v>
      </c>
      <c r="GM31">
        <f t="shared" si="47"/>
        <v>1286043</v>
      </c>
      <c r="GN31">
        <f t="shared" si="48"/>
        <v>1286043</v>
      </c>
      <c r="GO31">
        <f t="shared" si="49"/>
        <v>0</v>
      </c>
      <c r="GP31">
        <f t="shared" si="50"/>
        <v>0</v>
      </c>
      <c r="GR31">
        <v>0</v>
      </c>
      <c r="GS31">
        <v>3</v>
      </c>
      <c r="GT31">
        <v>0</v>
      </c>
      <c r="GU31" t="s">
        <v>6</v>
      </c>
      <c r="GV31">
        <f t="shared" si="51"/>
        <v>0</v>
      </c>
      <c r="GW31">
        <v>1</v>
      </c>
      <c r="GX31">
        <f t="shared" si="52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ROW(SmtRes!A37)</f>
        <v>37</v>
      </c>
      <c r="D32" s="2">
        <f>ROW(EtalonRes!A35)</f>
        <v>35</v>
      </c>
      <c r="E32" s="2" t="s">
        <v>37</v>
      </c>
      <c r="F32" s="2" t="s">
        <v>38</v>
      </c>
      <c r="G32" s="2" t="s">
        <v>39</v>
      </c>
      <c r="H32" s="2" t="s">
        <v>40</v>
      </c>
      <c r="I32" s="2">
        <f>ROUND(20.7/100,9)</f>
        <v>0.20699999999999999</v>
      </c>
      <c r="J32" s="2">
        <v>0</v>
      </c>
      <c r="K32" s="2"/>
      <c r="L32" s="2"/>
      <c r="M32" s="2"/>
      <c r="N32" s="2"/>
      <c r="O32" s="2">
        <f t="shared" si="14"/>
        <v>1341.6</v>
      </c>
      <c r="P32" s="2">
        <f t="shared" si="15"/>
        <v>1299.32</v>
      </c>
      <c r="Q32" s="2">
        <f t="shared" si="16"/>
        <v>4.53</v>
      </c>
      <c r="R32" s="2">
        <f t="shared" si="17"/>
        <v>0.92</v>
      </c>
      <c r="S32" s="2">
        <f t="shared" si="18"/>
        <v>37.75</v>
      </c>
      <c r="T32" s="2">
        <f t="shared" si="19"/>
        <v>0</v>
      </c>
      <c r="U32" s="2">
        <f t="shared" si="20"/>
        <v>4.4256599999999997</v>
      </c>
      <c r="V32" s="2">
        <f t="shared" si="21"/>
        <v>7.6589999999999991E-2</v>
      </c>
      <c r="W32" s="2">
        <f t="shared" si="22"/>
        <v>0</v>
      </c>
      <c r="X32" s="2">
        <f t="shared" si="23"/>
        <v>40.99</v>
      </c>
      <c r="Y32" s="2">
        <f t="shared" si="24"/>
        <v>20.88</v>
      </c>
      <c r="Z32" s="2"/>
      <c r="AA32" s="2">
        <v>16481626</v>
      </c>
      <c r="AB32" s="2">
        <f t="shared" si="25"/>
        <v>6481.17</v>
      </c>
      <c r="AC32" s="2">
        <f t="shared" si="26"/>
        <v>6276.9</v>
      </c>
      <c r="AD32" s="2">
        <f t="shared" si="27"/>
        <v>21.9</v>
      </c>
      <c r="AE32" s="2">
        <f t="shared" si="28"/>
        <v>4.43</v>
      </c>
      <c r="AF32" s="2">
        <f t="shared" si="29"/>
        <v>182.37</v>
      </c>
      <c r="AG32" s="2">
        <f t="shared" si="30"/>
        <v>0</v>
      </c>
      <c r="AH32" s="2">
        <f t="shared" si="31"/>
        <v>21.38</v>
      </c>
      <c r="AI32" s="2">
        <f t="shared" si="32"/>
        <v>0.37</v>
      </c>
      <c r="AJ32" s="2">
        <f t="shared" si="33"/>
        <v>0</v>
      </c>
      <c r="AK32" s="2">
        <v>6481.17</v>
      </c>
      <c r="AL32" s="2">
        <v>6276.9</v>
      </c>
      <c r="AM32" s="2">
        <v>21.9</v>
      </c>
      <c r="AN32" s="2">
        <v>4.43</v>
      </c>
      <c r="AO32" s="2">
        <v>182.37</v>
      </c>
      <c r="AP32" s="2">
        <v>0</v>
      </c>
      <c r="AQ32" s="2">
        <v>21.38</v>
      </c>
      <c r="AR32" s="2">
        <v>0.37</v>
      </c>
      <c r="AS32" s="2">
        <v>0</v>
      </c>
      <c r="AT32" s="2">
        <v>106</v>
      </c>
      <c r="AU32" s="2">
        <v>54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41</v>
      </c>
      <c r="BK32" s="2"/>
      <c r="BL32" s="2"/>
      <c r="BM32" s="2">
        <v>10001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118</v>
      </c>
      <c r="CA32" s="2">
        <v>63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4"/>
        <v>1341.6</v>
      </c>
      <c r="CQ32" s="2">
        <f t="shared" si="35"/>
        <v>6276.9</v>
      </c>
      <c r="CR32" s="2">
        <f t="shared" si="36"/>
        <v>21.9</v>
      </c>
      <c r="CS32" s="2">
        <f t="shared" si="37"/>
        <v>4.43</v>
      </c>
      <c r="CT32" s="2">
        <f t="shared" si="38"/>
        <v>182.37</v>
      </c>
      <c r="CU32" s="2">
        <f t="shared" si="39"/>
        <v>0</v>
      </c>
      <c r="CV32" s="2">
        <f t="shared" si="40"/>
        <v>21.38</v>
      </c>
      <c r="CW32" s="2">
        <f t="shared" si="41"/>
        <v>0.37</v>
      </c>
      <c r="CX32" s="2">
        <f t="shared" si="42"/>
        <v>0</v>
      </c>
      <c r="CY32" s="2">
        <f t="shared" si="43"/>
        <v>40.990200000000002</v>
      </c>
      <c r="CZ32" s="2">
        <f t="shared" si="44"/>
        <v>20.881800000000002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40</v>
      </c>
      <c r="DW32" s="2" t="s">
        <v>40</v>
      </c>
      <c r="DX32" s="2">
        <v>100</v>
      </c>
      <c r="DY32" s="2"/>
      <c r="DZ32" s="2"/>
      <c r="EA32" s="2"/>
      <c r="EB32" s="2"/>
      <c r="EC32" s="2"/>
      <c r="ED32" s="2"/>
      <c r="EE32" s="2">
        <v>15139100</v>
      </c>
      <c r="EF32" s="2">
        <v>2</v>
      </c>
      <c r="EG32" s="2" t="s">
        <v>18</v>
      </c>
      <c r="EH32" s="2">
        <v>0</v>
      </c>
      <c r="EI32" s="2" t="s">
        <v>6</v>
      </c>
      <c r="EJ32" s="2">
        <v>1</v>
      </c>
      <c r="EK32" s="2">
        <v>10001</v>
      </c>
      <c r="EL32" s="2" t="s">
        <v>27</v>
      </c>
      <c r="EM32" s="2" t="s">
        <v>28</v>
      </c>
      <c r="EN32" s="2"/>
      <c r="EO32" s="2" t="s">
        <v>6</v>
      </c>
      <c r="EP32" s="2"/>
      <c r="EQ32" s="2">
        <v>0</v>
      </c>
      <c r="ER32" s="2">
        <v>6481.17</v>
      </c>
      <c r="ES32" s="2">
        <v>6276.9</v>
      </c>
      <c r="ET32" s="2">
        <v>21.9</v>
      </c>
      <c r="EU32" s="2">
        <v>4.43</v>
      </c>
      <c r="EV32" s="2">
        <v>182.37</v>
      </c>
      <c r="EW32" s="2">
        <v>21.38</v>
      </c>
      <c r="EX32" s="2">
        <v>0.37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5"/>
        <v>0</v>
      </c>
      <c r="FS32" s="2">
        <v>0</v>
      </c>
      <c r="FT32" s="2" t="s">
        <v>21</v>
      </c>
      <c r="FU32" s="2" t="s">
        <v>22</v>
      </c>
      <c r="FV32" s="2"/>
      <c r="FW32" s="2"/>
      <c r="FX32" s="2">
        <v>106.2</v>
      </c>
      <c r="FY32" s="2">
        <v>53.55</v>
      </c>
      <c r="FZ32" s="2"/>
      <c r="GA32" s="2" t="s">
        <v>6</v>
      </c>
      <c r="GB32" s="2"/>
      <c r="GC32" s="2"/>
      <c r="GD32" s="2">
        <v>0</v>
      </c>
      <c r="GE32" s="2"/>
      <c r="GF32" s="2">
        <v>-1968498593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6"/>
        <v>0</v>
      </c>
      <c r="GM32" s="2">
        <f t="shared" si="47"/>
        <v>1403.47</v>
      </c>
      <c r="GN32" s="2">
        <f t="shared" si="48"/>
        <v>1403.47</v>
      </c>
      <c r="GO32" s="2">
        <f t="shared" si="49"/>
        <v>0</v>
      </c>
      <c r="GP32" s="2">
        <f t="shared" si="50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1"/>
        <v>0</v>
      </c>
      <c r="GW32" s="2">
        <v>1</v>
      </c>
      <c r="GX32" s="2">
        <f t="shared" si="52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ROW(SmtRes!A44)</f>
        <v>44</v>
      </c>
      <c r="D33">
        <f>ROW(EtalonRes!A42)</f>
        <v>42</v>
      </c>
      <c r="E33" t="s">
        <v>37</v>
      </c>
      <c r="F33" t="s">
        <v>38</v>
      </c>
      <c r="G33" t="s">
        <v>39</v>
      </c>
      <c r="H33" t="s">
        <v>40</v>
      </c>
      <c r="I33">
        <f>ROUND(20.7/100,9)</f>
        <v>0.20699999999999999</v>
      </c>
      <c r="J33">
        <v>0</v>
      </c>
      <c r="O33">
        <f t="shared" si="14"/>
        <v>8036.2</v>
      </c>
      <c r="P33">
        <f t="shared" si="15"/>
        <v>7782.92</v>
      </c>
      <c r="Q33">
        <f t="shared" si="16"/>
        <v>27.15</v>
      </c>
      <c r="R33">
        <f t="shared" si="17"/>
        <v>5.49</v>
      </c>
      <c r="S33">
        <f t="shared" si="18"/>
        <v>226.13</v>
      </c>
      <c r="T33">
        <f t="shared" si="19"/>
        <v>0</v>
      </c>
      <c r="U33">
        <f t="shared" si="20"/>
        <v>4.4256599999999997</v>
      </c>
      <c r="V33">
        <f t="shared" si="21"/>
        <v>7.6589999999999991E-2</v>
      </c>
      <c r="W33">
        <f t="shared" si="22"/>
        <v>0</v>
      </c>
      <c r="X33">
        <f t="shared" si="23"/>
        <v>245.52</v>
      </c>
      <c r="Y33">
        <f t="shared" si="24"/>
        <v>125.07</v>
      </c>
      <c r="AA33">
        <v>16481627</v>
      </c>
      <c r="AB33">
        <f t="shared" si="25"/>
        <v>6481.17</v>
      </c>
      <c r="AC33">
        <f t="shared" si="26"/>
        <v>6276.9</v>
      </c>
      <c r="AD33">
        <f t="shared" si="27"/>
        <v>21.9</v>
      </c>
      <c r="AE33">
        <f t="shared" si="28"/>
        <v>4.43</v>
      </c>
      <c r="AF33">
        <f t="shared" si="29"/>
        <v>182.37</v>
      </c>
      <c r="AG33">
        <f t="shared" si="30"/>
        <v>0</v>
      </c>
      <c r="AH33">
        <f t="shared" si="31"/>
        <v>21.38</v>
      </c>
      <c r="AI33">
        <f t="shared" si="32"/>
        <v>0.37</v>
      </c>
      <c r="AJ33">
        <f t="shared" si="33"/>
        <v>0</v>
      </c>
      <c r="AK33">
        <v>6481.17</v>
      </c>
      <c r="AL33">
        <v>6276.9</v>
      </c>
      <c r="AM33">
        <v>21.9</v>
      </c>
      <c r="AN33">
        <v>4.43</v>
      </c>
      <c r="AO33">
        <v>182.37</v>
      </c>
      <c r="AP33">
        <v>0</v>
      </c>
      <c r="AQ33">
        <v>21.38</v>
      </c>
      <c r="AR33">
        <v>0.37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5.99</v>
      </c>
      <c r="BA33">
        <v>5.99</v>
      </c>
      <c r="BB33">
        <v>5.99</v>
      </c>
      <c r="BC33">
        <v>5.99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41</v>
      </c>
      <c r="BM33">
        <v>10001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5.99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118</v>
      </c>
      <c r="CA33">
        <v>63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4"/>
        <v>8036.2</v>
      </c>
      <c r="CQ33">
        <f t="shared" si="35"/>
        <v>37598.631000000001</v>
      </c>
      <c r="CR33">
        <f t="shared" si="36"/>
        <v>131.18099999999998</v>
      </c>
      <c r="CS33">
        <f t="shared" si="37"/>
        <v>26.535699999999999</v>
      </c>
      <c r="CT33">
        <f t="shared" si="38"/>
        <v>1092.3963000000001</v>
      </c>
      <c r="CU33">
        <f t="shared" si="39"/>
        <v>0</v>
      </c>
      <c r="CV33">
        <f t="shared" si="40"/>
        <v>21.38</v>
      </c>
      <c r="CW33">
        <f t="shared" si="41"/>
        <v>0.37</v>
      </c>
      <c r="CX33">
        <f t="shared" si="42"/>
        <v>0</v>
      </c>
      <c r="CY33">
        <f t="shared" si="43"/>
        <v>245.5172</v>
      </c>
      <c r="CZ33">
        <f t="shared" si="44"/>
        <v>125.0748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40</v>
      </c>
      <c r="DW33" t="s">
        <v>40</v>
      </c>
      <c r="DX33">
        <v>100</v>
      </c>
      <c r="EE33">
        <v>15139100</v>
      </c>
      <c r="EF33">
        <v>2</v>
      </c>
      <c r="EG33" t="s">
        <v>18</v>
      </c>
      <c r="EH33">
        <v>0</v>
      </c>
      <c r="EI33" t="s">
        <v>6</v>
      </c>
      <c r="EJ33">
        <v>1</v>
      </c>
      <c r="EK33">
        <v>10001</v>
      </c>
      <c r="EL33" t="s">
        <v>27</v>
      </c>
      <c r="EM33" t="s">
        <v>28</v>
      </c>
      <c r="EO33" t="s">
        <v>6</v>
      </c>
      <c r="EQ33">
        <v>0</v>
      </c>
      <c r="ER33">
        <v>6481.17</v>
      </c>
      <c r="ES33">
        <v>6276.9</v>
      </c>
      <c r="ET33">
        <v>21.9</v>
      </c>
      <c r="EU33">
        <v>4.43</v>
      </c>
      <c r="EV33">
        <v>182.37</v>
      </c>
      <c r="EW33">
        <v>21.38</v>
      </c>
      <c r="EX33">
        <v>0.37</v>
      </c>
      <c r="EY33">
        <v>0</v>
      </c>
      <c r="FQ33">
        <v>0</v>
      </c>
      <c r="FR33">
        <f t="shared" si="45"/>
        <v>0</v>
      </c>
      <c r="FS33">
        <v>0</v>
      </c>
      <c r="FT33" t="s">
        <v>21</v>
      </c>
      <c r="FU33" t="s">
        <v>22</v>
      </c>
      <c r="FX33">
        <v>106.2</v>
      </c>
      <c r="FY33">
        <v>53.55</v>
      </c>
      <c r="GA33" t="s">
        <v>6</v>
      </c>
      <c r="GD33">
        <v>0</v>
      </c>
      <c r="GF33">
        <v>-1968498593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6"/>
        <v>0</v>
      </c>
      <c r="GM33">
        <f t="shared" si="47"/>
        <v>8406.7900000000009</v>
      </c>
      <c r="GN33">
        <f t="shared" si="48"/>
        <v>8406.7900000000009</v>
      </c>
      <c r="GO33">
        <f t="shared" si="49"/>
        <v>0</v>
      </c>
      <c r="GP33">
        <f t="shared" si="50"/>
        <v>0</v>
      </c>
      <c r="GR33">
        <v>0</v>
      </c>
      <c r="GS33">
        <v>3</v>
      </c>
      <c r="GT33">
        <v>0</v>
      </c>
      <c r="GU33" t="s">
        <v>6</v>
      </c>
      <c r="GV33">
        <f t="shared" si="51"/>
        <v>0</v>
      </c>
      <c r="GW33">
        <v>1</v>
      </c>
      <c r="GX33">
        <f t="shared" si="52"/>
        <v>0</v>
      </c>
      <c r="HA33">
        <v>0</v>
      </c>
      <c r="HB33"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35</v>
      </c>
      <c r="D34" s="2"/>
      <c r="E34" s="2" t="s">
        <v>42</v>
      </c>
      <c r="F34" s="2" t="s">
        <v>43</v>
      </c>
      <c r="G34" s="2" t="s">
        <v>44</v>
      </c>
      <c r="H34" s="2" t="s">
        <v>45</v>
      </c>
      <c r="I34" s="2">
        <f>I32*J34</f>
        <v>20.7</v>
      </c>
      <c r="J34" s="2">
        <v>100</v>
      </c>
      <c r="K34" s="2"/>
      <c r="L34" s="2"/>
      <c r="M34" s="2"/>
      <c r="N34" s="2"/>
      <c r="O34" s="2">
        <f t="shared" si="14"/>
        <v>1332.05</v>
      </c>
      <c r="P34" s="2">
        <f t="shared" si="15"/>
        <v>1332.05</v>
      </c>
      <c r="Q34" s="2">
        <f t="shared" si="16"/>
        <v>0</v>
      </c>
      <c r="R34" s="2">
        <f t="shared" si="17"/>
        <v>0</v>
      </c>
      <c r="S34" s="2">
        <f t="shared" si="18"/>
        <v>0</v>
      </c>
      <c r="T34" s="2">
        <f t="shared" si="19"/>
        <v>0</v>
      </c>
      <c r="U34" s="2">
        <f t="shared" si="20"/>
        <v>0</v>
      </c>
      <c r="V34" s="2">
        <f t="shared" si="21"/>
        <v>0</v>
      </c>
      <c r="W34" s="2">
        <f t="shared" si="22"/>
        <v>0</v>
      </c>
      <c r="X34" s="2">
        <f t="shared" si="23"/>
        <v>0</v>
      </c>
      <c r="Y34" s="2">
        <f t="shared" si="24"/>
        <v>0</v>
      </c>
      <c r="Z34" s="2"/>
      <c r="AA34" s="2">
        <v>16481626</v>
      </c>
      <c r="AB34" s="2">
        <f t="shared" si="25"/>
        <v>64.349999999999994</v>
      </c>
      <c r="AC34" s="2">
        <f t="shared" si="26"/>
        <v>64.349999999999994</v>
      </c>
      <c r="AD34" s="2">
        <f t="shared" si="27"/>
        <v>0</v>
      </c>
      <c r="AE34" s="2">
        <f t="shared" si="28"/>
        <v>0</v>
      </c>
      <c r="AF34" s="2">
        <f t="shared" si="29"/>
        <v>0</v>
      </c>
      <c r="AG34" s="2">
        <f t="shared" si="30"/>
        <v>0</v>
      </c>
      <c r="AH34" s="2">
        <f t="shared" si="31"/>
        <v>0</v>
      </c>
      <c r="AI34" s="2">
        <f t="shared" si="32"/>
        <v>0</v>
      </c>
      <c r="AJ34" s="2">
        <f t="shared" si="33"/>
        <v>0</v>
      </c>
      <c r="AK34" s="2">
        <v>64.349999999999994</v>
      </c>
      <c r="AL34" s="2">
        <v>64.349999999999994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106</v>
      </c>
      <c r="AU34" s="2">
        <v>54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3</v>
      </c>
      <c r="BI34" s="2">
        <v>1</v>
      </c>
      <c r="BJ34" s="2" t="s">
        <v>46</v>
      </c>
      <c r="BK34" s="2"/>
      <c r="BL34" s="2"/>
      <c r="BM34" s="2">
        <v>10001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118</v>
      </c>
      <c r="CA34" s="2">
        <v>63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4"/>
        <v>1332.05</v>
      </c>
      <c r="CQ34" s="2">
        <f t="shared" si="35"/>
        <v>64.349999999999994</v>
      </c>
      <c r="CR34" s="2">
        <f t="shared" si="36"/>
        <v>0</v>
      </c>
      <c r="CS34" s="2">
        <f t="shared" si="37"/>
        <v>0</v>
      </c>
      <c r="CT34" s="2">
        <f t="shared" si="38"/>
        <v>0</v>
      </c>
      <c r="CU34" s="2">
        <f t="shared" si="39"/>
        <v>0</v>
      </c>
      <c r="CV34" s="2">
        <f t="shared" si="40"/>
        <v>0</v>
      </c>
      <c r="CW34" s="2">
        <f t="shared" si="41"/>
        <v>0</v>
      </c>
      <c r="CX34" s="2">
        <f t="shared" si="42"/>
        <v>0</v>
      </c>
      <c r="CY34" s="2">
        <f t="shared" si="43"/>
        <v>0</v>
      </c>
      <c r="CZ34" s="2">
        <f t="shared" si="44"/>
        <v>0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1003</v>
      </c>
      <c r="DV34" s="2" t="s">
        <v>45</v>
      </c>
      <c r="DW34" s="2" t="s">
        <v>45</v>
      </c>
      <c r="DX34" s="2">
        <v>1</v>
      </c>
      <c r="DY34" s="2"/>
      <c r="DZ34" s="2"/>
      <c r="EA34" s="2"/>
      <c r="EB34" s="2"/>
      <c r="EC34" s="2"/>
      <c r="ED34" s="2"/>
      <c r="EE34" s="2">
        <v>15139100</v>
      </c>
      <c r="EF34" s="2">
        <v>2</v>
      </c>
      <c r="EG34" s="2" t="s">
        <v>18</v>
      </c>
      <c r="EH34" s="2">
        <v>0</v>
      </c>
      <c r="EI34" s="2" t="s">
        <v>6</v>
      </c>
      <c r="EJ34" s="2">
        <v>1</v>
      </c>
      <c r="EK34" s="2">
        <v>10001</v>
      </c>
      <c r="EL34" s="2" t="s">
        <v>27</v>
      </c>
      <c r="EM34" s="2" t="s">
        <v>28</v>
      </c>
      <c r="EN34" s="2"/>
      <c r="EO34" s="2" t="s">
        <v>6</v>
      </c>
      <c r="EP34" s="2"/>
      <c r="EQ34" s="2">
        <v>0</v>
      </c>
      <c r="ER34" s="2">
        <v>64.349999999999994</v>
      </c>
      <c r="ES34" s="2">
        <v>64.349999999999994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5"/>
        <v>0</v>
      </c>
      <c r="FS34" s="2">
        <v>0</v>
      </c>
      <c r="FT34" s="2" t="s">
        <v>21</v>
      </c>
      <c r="FU34" s="2" t="s">
        <v>22</v>
      </c>
      <c r="FV34" s="2"/>
      <c r="FW34" s="2"/>
      <c r="FX34" s="2">
        <v>106.2</v>
      </c>
      <c r="FY34" s="2">
        <v>53.55</v>
      </c>
      <c r="FZ34" s="2"/>
      <c r="GA34" s="2" t="s">
        <v>6</v>
      </c>
      <c r="GB34" s="2"/>
      <c r="GC34" s="2"/>
      <c r="GD34" s="2">
        <v>0</v>
      </c>
      <c r="GE34" s="2"/>
      <c r="GF34" s="2">
        <v>1369221803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6"/>
        <v>0</v>
      </c>
      <c r="GM34" s="2">
        <f t="shared" si="47"/>
        <v>1332.05</v>
      </c>
      <c r="GN34" s="2">
        <f t="shared" si="48"/>
        <v>1332.05</v>
      </c>
      <c r="GO34" s="2">
        <f t="shared" si="49"/>
        <v>0</v>
      </c>
      <c r="GP34" s="2">
        <f t="shared" si="50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1"/>
        <v>0</v>
      </c>
      <c r="GW34" s="2">
        <v>1</v>
      </c>
      <c r="GX34" s="2">
        <f t="shared" si="52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42</v>
      </c>
      <c r="E35" t="s">
        <v>42</v>
      </c>
      <c r="F35" t="s">
        <v>43</v>
      </c>
      <c r="G35" t="s">
        <v>44</v>
      </c>
      <c r="H35" t="s">
        <v>45</v>
      </c>
      <c r="I35">
        <f>I33*J35</f>
        <v>20.7</v>
      </c>
      <c r="J35">
        <v>100</v>
      </c>
      <c r="O35">
        <f t="shared" si="14"/>
        <v>7978.95</v>
      </c>
      <c r="P35">
        <f t="shared" si="15"/>
        <v>7978.95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16481627</v>
      </c>
      <c r="AB35">
        <f t="shared" si="25"/>
        <v>64.349999999999994</v>
      </c>
      <c r="AC35">
        <f t="shared" si="26"/>
        <v>64.349999999999994</v>
      </c>
      <c r="AD35">
        <f t="shared" si="27"/>
        <v>0</v>
      </c>
      <c r="AE35">
        <f t="shared" si="28"/>
        <v>0</v>
      </c>
      <c r="AF35">
        <f t="shared" si="29"/>
        <v>0</v>
      </c>
      <c r="AG35">
        <f t="shared" si="30"/>
        <v>0</v>
      </c>
      <c r="AH35">
        <f t="shared" si="31"/>
        <v>0</v>
      </c>
      <c r="AI35">
        <f t="shared" si="32"/>
        <v>0</v>
      </c>
      <c r="AJ35">
        <f t="shared" si="33"/>
        <v>0</v>
      </c>
      <c r="AK35">
        <v>64.349999999999994</v>
      </c>
      <c r="AL35">
        <v>64.349999999999994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106</v>
      </c>
      <c r="AU35">
        <v>54</v>
      </c>
      <c r="AV35">
        <v>1</v>
      </c>
      <c r="AW35">
        <v>1</v>
      </c>
      <c r="AZ35">
        <v>5.99</v>
      </c>
      <c r="BA35">
        <v>1</v>
      </c>
      <c r="BB35">
        <v>1</v>
      </c>
      <c r="BC35">
        <v>5.99</v>
      </c>
      <c r="BD35" t="s">
        <v>6</v>
      </c>
      <c r="BE35" t="s">
        <v>6</v>
      </c>
      <c r="BF35" t="s">
        <v>6</v>
      </c>
      <c r="BG35" t="s">
        <v>6</v>
      </c>
      <c r="BH35">
        <v>3</v>
      </c>
      <c r="BI35">
        <v>1</v>
      </c>
      <c r="BJ35" t="s">
        <v>46</v>
      </c>
      <c r="BM35">
        <v>10001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118</v>
      </c>
      <c r="CA35">
        <v>63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4"/>
        <v>7978.95</v>
      </c>
      <c r="CQ35">
        <f t="shared" si="35"/>
        <v>385.45650000000001</v>
      </c>
      <c r="CR35">
        <f t="shared" si="36"/>
        <v>0</v>
      </c>
      <c r="CS35">
        <f t="shared" si="37"/>
        <v>0</v>
      </c>
      <c r="CT35">
        <f t="shared" si="38"/>
        <v>0</v>
      </c>
      <c r="CU35">
        <f t="shared" si="39"/>
        <v>0</v>
      </c>
      <c r="CV35">
        <f t="shared" si="40"/>
        <v>0</v>
      </c>
      <c r="CW35">
        <f t="shared" si="41"/>
        <v>0</v>
      </c>
      <c r="CX35">
        <f t="shared" si="42"/>
        <v>0</v>
      </c>
      <c r="CY35">
        <f t="shared" si="43"/>
        <v>0</v>
      </c>
      <c r="CZ35">
        <f t="shared" si="44"/>
        <v>0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45</v>
      </c>
      <c r="DW35" t="s">
        <v>45</v>
      </c>
      <c r="DX35">
        <v>1</v>
      </c>
      <c r="EE35">
        <v>15139100</v>
      </c>
      <c r="EF35">
        <v>2</v>
      </c>
      <c r="EG35" t="s">
        <v>18</v>
      </c>
      <c r="EH35">
        <v>0</v>
      </c>
      <c r="EI35" t="s">
        <v>6</v>
      </c>
      <c r="EJ35">
        <v>1</v>
      </c>
      <c r="EK35">
        <v>10001</v>
      </c>
      <c r="EL35" t="s">
        <v>27</v>
      </c>
      <c r="EM35" t="s">
        <v>28</v>
      </c>
      <c r="EO35" t="s">
        <v>6</v>
      </c>
      <c r="EQ35">
        <v>0</v>
      </c>
      <c r="ER35">
        <v>64.349999999999994</v>
      </c>
      <c r="ES35">
        <v>64.349999999999994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5"/>
        <v>0</v>
      </c>
      <c r="FS35">
        <v>0</v>
      </c>
      <c r="FT35" t="s">
        <v>21</v>
      </c>
      <c r="FU35" t="s">
        <v>22</v>
      </c>
      <c r="FX35">
        <v>106.2</v>
      </c>
      <c r="FY35">
        <v>53.55</v>
      </c>
      <c r="GA35" t="s">
        <v>6</v>
      </c>
      <c r="GD35">
        <v>0</v>
      </c>
      <c r="GF35">
        <v>1369221803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6"/>
        <v>0</v>
      </c>
      <c r="GM35">
        <f t="shared" si="47"/>
        <v>7978.95</v>
      </c>
      <c r="GN35">
        <f t="shared" si="48"/>
        <v>7978.95</v>
      </c>
      <c r="GO35">
        <f t="shared" si="49"/>
        <v>0</v>
      </c>
      <c r="GP35">
        <f t="shared" si="50"/>
        <v>0</v>
      </c>
      <c r="GR35">
        <v>0</v>
      </c>
      <c r="GS35">
        <v>3</v>
      </c>
      <c r="GT35">
        <v>0</v>
      </c>
      <c r="GU35" t="s">
        <v>6</v>
      </c>
      <c r="GV35">
        <f t="shared" si="51"/>
        <v>0</v>
      </c>
      <c r="GW35">
        <v>1</v>
      </c>
      <c r="GX35">
        <f t="shared" si="52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ROW(SmtRes!A54)</f>
        <v>54</v>
      </c>
      <c r="D36" s="2">
        <f>ROW(EtalonRes!A50)</f>
        <v>50</v>
      </c>
      <c r="E36" s="2" t="s">
        <v>47</v>
      </c>
      <c r="F36" s="2" t="s">
        <v>48</v>
      </c>
      <c r="G36" s="2" t="s">
        <v>49</v>
      </c>
      <c r="H36" s="2" t="s">
        <v>40</v>
      </c>
      <c r="I36" s="2">
        <f>ROUND(20.7/100,9)</f>
        <v>0.20699999999999999</v>
      </c>
      <c r="J36" s="2">
        <v>0</v>
      </c>
      <c r="K36" s="2"/>
      <c r="L36" s="2"/>
      <c r="M36" s="2"/>
      <c r="N36" s="2"/>
      <c r="O36" s="2">
        <f t="shared" si="14"/>
        <v>94.06</v>
      </c>
      <c r="P36" s="2">
        <f t="shared" si="15"/>
        <v>19.88</v>
      </c>
      <c r="Q36" s="2">
        <f t="shared" si="16"/>
        <v>1.06</v>
      </c>
      <c r="R36" s="2">
        <f t="shared" si="17"/>
        <v>0.32</v>
      </c>
      <c r="S36" s="2">
        <f t="shared" si="18"/>
        <v>73.12</v>
      </c>
      <c r="T36" s="2">
        <f t="shared" si="19"/>
        <v>0</v>
      </c>
      <c r="U36" s="2">
        <f t="shared" si="20"/>
        <v>8.5718699999999988</v>
      </c>
      <c r="V36" s="2">
        <f t="shared" si="21"/>
        <v>2.4839999999999997E-2</v>
      </c>
      <c r="W36" s="2">
        <f t="shared" si="22"/>
        <v>0</v>
      </c>
      <c r="X36" s="2">
        <f t="shared" si="23"/>
        <v>60.96</v>
      </c>
      <c r="Y36" s="2">
        <f t="shared" si="24"/>
        <v>47.74</v>
      </c>
      <c r="Z36" s="2"/>
      <c r="AA36" s="2">
        <v>16481626</v>
      </c>
      <c r="AB36" s="2">
        <f t="shared" si="25"/>
        <v>454.41</v>
      </c>
      <c r="AC36" s="2">
        <f t="shared" si="26"/>
        <v>96.05</v>
      </c>
      <c r="AD36" s="2">
        <f t="shared" si="27"/>
        <v>5.13</v>
      </c>
      <c r="AE36" s="2">
        <f t="shared" si="28"/>
        <v>1.54</v>
      </c>
      <c r="AF36" s="2">
        <f t="shared" si="29"/>
        <v>353.23</v>
      </c>
      <c r="AG36" s="2">
        <f t="shared" si="30"/>
        <v>0</v>
      </c>
      <c r="AH36" s="2">
        <f t="shared" si="31"/>
        <v>41.41</v>
      </c>
      <c r="AI36" s="2">
        <f t="shared" si="32"/>
        <v>0.12</v>
      </c>
      <c r="AJ36" s="2">
        <f t="shared" si="33"/>
        <v>0</v>
      </c>
      <c r="AK36" s="2">
        <v>454.41</v>
      </c>
      <c r="AL36" s="2">
        <v>96.05</v>
      </c>
      <c r="AM36" s="2">
        <v>5.13</v>
      </c>
      <c r="AN36" s="2">
        <v>1.54</v>
      </c>
      <c r="AO36" s="2">
        <v>353.23</v>
      </c>
      <c r="AP36" s="2">
        <v>0</v>
      </c>
      <c r="AQ36" s="2">
        <v>41.41</v>
      </c>
      <c r="AR36" s="2">
        <v>0.12</v>
      </c>
      <c r="AS36" s="2">
        <v>0</v>
      </c>
      <c r="AT36" s="2">
        <v>83</v>
      </c>
      <c r="AU36" s="2">
        <v>65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50</v>
      </c>
      <c r="BK36" s="2"/>
      <c r="BL36" s="2"/>
      <c r="BM36" s="2">
        <v>58001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83</v>
      </c>
      <c r="CA36" s="2">
        <v>65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34"/>
        <v>94.06</v>
      </c>
      <c r="CQ36" s="2">
        <f t="shared" si="35"/>
        <v>96.05</v>
      </c>
      <c r="CR36" s="2">
        <f t="shared" si="36"/>
        <v>5.13</v>
      </c>
      <c r="CS36" s="2">
        <f t="shared" si="37"/>
        <v>1.54</v>
      </c>
      <c r="CT36" s="2">
        <f t="shared" si="38"/>
        <v>353.23</v>
      </c>
      <c r="CU36" s="2">
        <f t="shared" si="39"/>
        <v>0</v>
      </c>
      <c r="CV36" s="2">
        <f t="shared" si="40"/>
        <v>41.41</v>
      </c>
      <c r="CW36" s="2">
        <f t="shared" si="41"/>
        <v>0.12</v>
      </c>
      <c r="CX36" s="2">
        <f t="shared" si="42"/>
        <v>0</v>
      </c>
      <c r="CY36" s="2">
        <f t="shared" si="43"/>
        <v>60.955199999999998</v>
      </c>
      <c r="CZ36" s="2">
        <f t="shared" si="44"/>
        <v>47.735999999999997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1003</v>
      </c>
      <c r="DV36" s="2" t="s">
        <v>40</v>
      </c>
      <c r="DW36" s="2" t="s">
        <v>40</v>
      </c>
      <c r="DX36" s="2">
        <v>100</v>
      </c>
      <c r="DY36" s="2"/>
      <c r="DZ36" s="2"/>
      <c r="EA36" s="2"/>
      <c r="EB36" s="2"/>
      <c r="EC36" s="2"/>
      <c r="ED36" s="2"/>
      <c r="EE36" s="2">
        <v>15139180</v>
      </c>
      <c r="EF36" s="2">
        <v>6</v>
      </c>
      <c r="EG36" s="2" t="s">
        <v>51</v>
      </c>
      <c r="EH36" s="2">
        <v>0</v>
      </c>
      <c r="EI36" s="2" t="s">
        <v>6</v>
      </c>
      <c r="EJ36" s="2">
        <v>1</v>
      </c>
      <c r="EK36" s="2">
        <v>58001</v>
      </c>
      <c r="EL36" s="2" t="s">
        <v>52</v>
      </c>
      <c r="EM36" s="2" t="s">
        <v>53</v>
      </c>
      <c r="EN36" s="2"/>
      <c r="EO36" s="2" t="s">
        <v>6</v>
      </c>
      <c r="EP36" s="2"/>
      <c r="EQ36" s="2">
        <v>0</v>
      </c>
      <c r="ER36" s="2">
        <v>454.41</v>
      </c>
      <c r="ES36" s="2">
        <v>96.05</v>
      </c>
      <c r="ET36" s="2">
        <v>5.13</v>
      </c>
      <c r="EU36" s="2">
        <v>1.54</v>
      </c>
      <c r="EV36" s="2">
        <v>353.23</v>
      </c>
      <c r="EW36" s="2">
        <v>41.41</v>
      </c>
      <c r="EX36" s="2">
        <v>0.12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5"/>
        <v>0</v>
      </c>
      <c r="FS36" s="2">
        <v>0</v>
      </c>
      <c r="FT36" s="2"/>
      <c r="FU36" s="2"/>
      <c r="FV36" s="2"/>
      <c r="FW36" s="2"/>
      <c r="FX36" s="2">
        <v>83</v>
      </c>
      <c r="FY36" s="2">
        <v>65</v>
      </c>
      <c r="FZ36" s="2"/>
      <c r="GA36" s="2" t="s">
        <v>6</v>
      </c>
      <c r="GB36" s="2"/>
      <c r="GC36" s="2"/>
      <c r="GD36" s="2">
        <v>0</v>
      </c>
      <c r="GE36" s="2"/>
      <c r="GF36" s="2">
        <v>-58071427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6"/>
        <v>0</v>
      </c>
      <c r="GM36" s="2">
        <f t="shared" si="47"/>
        <v>202.76</v>
      </c>
      <c r="GN36" s="2">
        <f t="shared" si="48"/>
        <v>202.76</v>
      </c>
      <c r="GO36" s="2">
        <f t="shared" si="49"/>
        <v>0</v>
      </c>
      <c r="GP36" s="2">
        <f t="shared" si="50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1"/>
        <v>0</v>
      </c>
      <c r="GW36" s="2">
        <v>1</v>
      </c>
      <c r="GX36" s="2">
        <f t="shared" si="52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ROW(SmtRes!A64)</f>
        <v>64</v>
      </c>
      <c r="D37">
        <f>ROW(EtalonRes!A58)</f>
        <v>58</v>
      </c>
      <c r="E37" t="s">
        <v>47</v>
      </c>
      <c r="F37" t="s">
        <v>48</v>
      </c>
      <c r="G37" t="s">
        <v>49</v>
      </c>
      <c r="H37" t="s">
        <v>40</v>
      </c>
      <c r="I37">
        <f>ROUND(20.7/100,9)</f>
        <v>0.20699999999999999</v>
      </c>
      <c r="J37">
        <v>0</v>
      </c>
      <c r="O37">
        <f t="shared" si="14"/>
        <v>563.44000000000005</v>
      </c>
      <c r="P37">
        <f t="shared" si="15"/>
        <v>119.1</v>
      </c>
      <c r="Q37">
        <f t="shared" si="16"/>
        <v>6.36</v>
      </c>
      <c r="R37">
        <f t="shared" si="17"/>
        <v>1.91</v>
      </c>
      <c r="S37">
        <f t="shared" si="18"/>
        <v>437.98</v>
      </c>
      <c r="T37">
        <f t="shared" si="19"/>
        <v>0</v>
      </c>
      <c r="U37">
        <f t="shared" si="20"/>
        <v>8.5718699999999988</v>
      </c>
      <c r="V37">
        <f t="shared" si="21"/>
        <v>2.4839999999999997E-2</v>
      </c>
      <c r="W37">
        <f t="shared" si="22"/>
        <v>0</v>
      </c>
      <c r="X37">
        <f t="shared" si="23"/>
        <v>365.11</v>
      </c>
      <c r="Y37">
        <f t="shared" si="24"/>
        <v>285.93</v>
      </c>
      <c r="AA37">
        <v>16481627</v>
      </c>
      <c r="AB37">
        <f t="shared" si="25"/>
        <v>454.41</v>
      </c>
      <c r="AC37">
        <f t="shared" si="26"/>
        <v>96.05</v>
      </c>
      <c r="AD37">
        <f t="shared" si="27"/>
        <v>5.13</v>
      </c>
      <c r="AE37">
        <f t="shared" si="28"/>
        <v>1.54</v>
      </c>
      <c r="AF37">
        <f t="shared" si="29"/>
        <v>353.23</v>
      </c>
      <c r="AG37">
        <f t="shared" si="30"/>
        <v>0</v>
      </c>
      <c r="AH37">
        <f t="shared" si="31"/>
        <v>41.41</v>
      </c>
      <c r="AI37">
        <f t="shared" si="32"/>
        <v>0.12</v>
      </c>
      <c r="AJ37">
        <f t="shared" si="33"/>
        <v>0</v>
      </c>
      <c r="AK37">
        <v>454.41</v>
      </c>
      <c r="AL37">
        <v>96.05</v>
      </c>
      <c r="AM37">
        <v>5.13</v>
      </c>
      <c r="AN37">
        <v>1.54</v>
      </c>
      <c r="AO37">
        <v>353.23</v>
      </c>
      <c r="AP37">
        <v>0</v>
      </c>
      <c r="AQ37">
        <v>41.41</v>
      </c>
      <c r="AR37">
        <v>0.12</v>
      </c>
      <c r="AS37">
        <v>0</v>
      </c>
      <c r="AT37">
        <v>83</v>
      </c>
      <c r="AU37">
        <v>65</v>
      </c>
      <c r="AV37">
        <v>1</v>
      </c>
      <c r="AW37">
        <v>1</v>
      </c>
      <c r="AZ37">
        <v>5.99</v>
      </c>
      <c r="BA37">
        <v>5.99</v>
      </c>
      <c r="BB37">
        <v>5.99</v>
      </c>
      <c r="BC37">
        <v>5.99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50</v>
      </c>
      <c r="BM37">
        <v>58001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5.99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83</v>
      </c>
      <c r="CA37">
        <v>65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4"/>
        <v>563.44000000000005</v>
      </c>
      <c r="CQ37">
        <f t="shared" si="35"/>
        <v>575.33950000000004</v>
      </c>
      <c r="CR37">
        <f t="shared" si="36"/>
        <v>30.7287</v>
      </c>
      <c r="CS37">
        <f t="shared" si="37"/>
        <v>9.2246000000000006</v>
      </c>
      <c r="CT37">
        <f t="shared" si="38"/>
        <v>2115.8477000000003</v>
      </c>
      <c r="CU37">
        <f t="shared" si="39"/>
        <v>0</v>
      </c>
      <c r="CV37">
        <f t="shared" si="40"/>
        <v>41.41</v>
      </c>
      <c r="CW37">
        <f t="shared" si="41"/>
        <v>0.12</v>
      </c>
      <c r="CX37">
        <f t="shared" si="42"/>
        <v>0</v>
      </c>
      <c r="CY37">
        <f t="shared" si="43"/>
        <v>365.1087</v>
      </c>
      <c r="CZ37">
        <f t="shared" si="44"/>
        <v>285.92850000000004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1003</v>
      </c>
      <c r="DV37" t="s">
        <v>40</v>
      </c>
      <c r="DW37" t="s">
        <v>40</v>
      </c>
      <c r="DX37">
        <v>100</v>
      </c>
      <c r="EE37">
        <v>15139180</v>
      </c>
      <c r="EF37">
        <v>6</v>
      </c>
      <c r="EG37" t="s">
        <v>51</v>
      </c>
      <c r="EH37">
        <v>0</v>
      </c>
      <c r="EI37" t="s">
        <v>6</v>
      </c>
      <c r="EJ37">
        <v>1</v>
      </c>
      <c r="EK37">
        <v>58001</v>
      </c>
      <c r="EL37" t="s">
        <v>52</v>
      </c>
      <c r="EM37" t="s">
        <v>53</v>
      </c>
      <c r="EO37" t="s">
        <v>6</v>
      </c>
      <c r="EQ37">
        <v>0</v>
      </c>
      <c r="ER37">
        <v>454.41</v>
      </c>
      <c r="ES37">
        <v>96.05</v>
      </c>
      <c r="ET37">
        <v>5.13</v>
      </c>
      <c r="EU37">
        <v>1.54</v>
      </c>
      <c r="EV37">
        <v>353.23</v>
      </c>
      <c r="EW37">
        <v>41.41</v>
      </c>
      <c r="EX37">
        <v>0.12</v>
      </c>
      <c r="EY37">
        <v>0</v>
      </c>
      <c r="FQ37">
        <v>0</v>
      </c>
      <c r="FR37">
        <f t="shared" si="45"/>
        <v>0</v>
      </c>
      <c r="FS37">
        <v>0</v>
      </c>
      <c r="FX37">
        <v>83</v>
      </c>
      <c r="FY37">
        <v>65</v>
      </c>
      <c r="GA37" t="s">
        <v>6</v>
      </c>
      <c r="GD37">
        <v>0</v>
      </c>
      <c r="GF37">
        <v>-58071427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6"/>
        <v>0</v>
      </c>
      <c r="GM37">
        <f t="shared" si="47"/>
        <v>1214.48</v>
      </c>
      <c r="GN37">
        <f t="shared" si="48"/>
        <v>1214.48</v>
      </c>
      <c r="GO37">
        <f t="shared" si="49"/>
        <v>0</v>
      </c>
      <c r="GP37">
        <f t="shared" si="50"/>
        <v>0</v>
      </c>
      <c r="GR37">
        <v>0</v>
      </c>
      <c r="GS37">
        <v>3</v>
      </c>
      <c r="GT37">
        <v>0</v>
      </c>
      <c r="GU37" t="s">
        <v>6</v>
      </c>
      <c r="GV37">
        <f t="shared" si="51"/>
        <v>0</v>
      </c>
      <c r="GW37">
        <v>1</v>
      </c>
      <c r="GX37">
        <f t="shared" si="52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49</v>
      </c>
      <c r="D38" s="2"/>
      <c r="E38" s="2" t="s">
        <v>54</v>
      </c>
      <c r="F38" s="2" t="s">
        <v>55</v>
      </c>
      <c r="G38" s="2" t="s">
        <v>56</v>
      </c>
      <c r="H38" s="2" t="s">
        <v>57</v>
      </c>
      <c r="I38" s="2">
        <f>I36*J38</f>
        <v>4.6367999999999999E-2</v>
      </c>
      <c r="J38" s="2">
        <v>0.224</v>
      </c>
      <c r="K38" s="2"/>
      <c r="L38" s="2"/>
      <c r="M38" s="2"/>
      <c r="N38" s="2"/>
      <c r="O38" s="2">
        <f t="shared" si="14"/>
        <v>0</v>
      </c>
      <c r="P38" s="2">
        <f t="shared" si="15"/>
        <v>0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16481626</v>
      </c>
      <c r="AB38" s="2">
        <f t="shared" si="25"/>
        <v>0</v>
      </c>
      <c r="AC38" s="2">
        <f t="shared" si="26"/>
        <v>0</v>
      </c>
      <c r="AD38" s="2">
        <f t="shared" si="27"/>
        <v>0</v>
      </c>
      <c r="AE38" s="2">
        <f t="shared" si="28"/>
        <v>0</v>
      </c>
      <c r="AF38" s="2">
        <f t="shared" si="29"/>
        <v>0</v>
      </c>
      <c r="AG38" s="2">
        <f t="shared" si="30"/>
        <v>0</v>
      </c>
      <c r="AH38" s="2">
        <f t="shared" si="31"/>
        <v>0</v>
      </c>
      <c r="AI38" s="2">
        <f t="shared" si="32"/>
        <v>0</v>
      </c>
      <c r="AJ38" s="2">
        <f t="shared" si="33"/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83</v>
      </c>
      <c r="AU38" s="2">
        <v>65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6</v>
      </c>
      <c r="BK38" s="2"/>
      <c r="BL38" s="2"/>
      <c r="BM38" s="2">
        <v>58001</v>
      </c>
      <c r="BN38" s="2">
        <v>0</v>
      </c>
      <c r="BO38" s="2" t="s">
        <v>6</v>
      </c>
      <c r="BP38" s="2">
        <v>0</v>
      </c>
      <c r="BQ38" s="2">
        <v>6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83</v>
      </c>
      <c r="CA38" s="2">
        <v>65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4"/>
        <v>0</v>
      </c>
      <c r="CQ38" s="2">
        <f t="shared" si="35"/>
        <v>0</v>
      </c>
      <c r="CR38" s="2">
        <f t="shared" si="36"/>
        <v>0</v>
      </c>
      <c r="CS38" s="2">
        <f t="shared" si="37"/>
        <v>0</v>
      </c>
      <c r="CT38" s="2">
        <f t="shared" si="38"/>
        <v>0</v>
      </c>
      <c r="CU38" s="2">
        <f t="shared" si="39"/>
        <v>0</v>
      </c>
      <c r="CV38" s="2">
        <f t="shared" si="40"/>
        <v>0</v>
      </c>
      <c r="CW38" s="2">
        <f t="shared" si="41"/>
        <v>0</v>
      </c>
      <c r="CX38" s="2">
        <f t="shared" si="42"/>
        <v>0</v>
      </c>
      <c r="CY38" s="2">
        <f t="shared" si="43"/>
        <v>0</v>
      </c>
      <c r="CZ38" s="2">
        <f t="shared" si="44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57</v>
      </c>
      <c r="DW38" s="2" t="s">
        <v>57</v>
      </c>
      <c r="DX38" s="2">
        <v>1000</v>
      </c>
      <c r="DY38" s="2"/>
      <c r="DZ38" s="2"/>
      <c r="EA38" s="2"/>
      <c r="EB38" s="2"/>
      <c r="EC38" s="2"/>
      <c r="ED38" s="2"/>
      <c r="EE38" s="2">
        <v>15139180</v>
      </c>
      <c r="EF38" s="2">
        <v>6</v>
      </c>
      <c r="EG38" s="2" t="s">
        <v>51</v>
      </c>
      <c r="EH38" s="2">
        <v>0</v>
      </c>
      <c r="EI38" s="2" t="s">
        <v>6</v>
      </c>
      <c r="EJ38" s="2">
        <v>1</v>
      </c>
      <c r="EK38" s="2">
        <v>58001</v>
      </c>
      <c r="EL38" s="2" t="s">
        <v>52</v>
      </c>
      <c r="EM38" s="2" t="s">
        <v>53</v>
      </c>
      <c r="EN38" s="2"/>
      <c r="EO38" s="2" t="s">
        <v>6</v>
      </c>
      <c r="EP38" s="2"/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5"/>
        <v>0</v>
      </c>
      <c r="FS38" s="2">
        <v>0</v>
      </c>
      <c r="FT38" s="2"/>
      <c r="FU38" s="2"/>
      <c r="FV38" s="2"/>
      <c r="FW38" s="2"/>
      <c r="FX38" s="2">
        <v>83</v>
      </c>
      <c r="FY38" s="2">
        <v>65</v>
      </c>
      <c r="FZ38" s="2"/>
      <c r="GA38" s="2" t="s">
        <v>6</v>
      </c>
      <c r="GB38" s="2"/>
      <c r="GC38" s="2"/>
      <c r="GD38" s="2">
        <v>0</v>
      </c>
      <c r="GE38" s="2"/>
      <c r="GF38" s="2">
        <v>-179832266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6"/>
        <v>0</v>
      </c>
      <c r="GM38" s="2">
        <f t="shared" si="47"/>
        <v>0</v>
      </c>
      <c r="GN38" s="2">
        <f t="shared" si="48"/>
        <v>0</v>
      </c>
      <c r="GO38" s="2">
        <f t="shared" si="49"/>
        <v>0</v>
      </c>
      <c r="GP38" s="2">
        <f t="shared" si="50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1"/>
        <v>0</v>
      </c>
      <c r="GW38" s="2">
        <v>1</v>
      </c>
      <c r="GX38" s="2">
        <f t="shared" si="52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59</v>
      </c>
      <c r="E39" t="s">
        <v>54</v>
      </c>
      <c r="F39" t="s">
        <v>55</v>
      </c>
      <c r="G39" t="s">
        <v>56</v>
      </c>
      <c r="H39" t="s">
        <v>57</v>
      </c>
      <c r="I39">
        <f>I37*J39</f>
        <v>4.6367999999999999E-2</v>
      </c>
      <c r="J39">
        <v>0.224</v>
      </c>
      <c r="O39">
        <f t="shared" si="14"/>
        <v>0</v>
      </c>
      <c r="P39">
        <f t="shared" si="15"/>
        <v>0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16481627</v>
      </c>
      <c r="AB39">
        <f t="shared" si="25"/>
        <v>0</v>
      </c>
      <c r="AC39">
        <f t="shared" si="26"/>
        <v>0</v>
      </c>
      <c r="AD39">
        <f t="shared" si="27"/>
        <v>0</v>
      </c>
      <c r="AE39">
        <f t="shared" si="28"/>
        <v>0</v>
      </c>
      <c r="AF39">
        <f t="shared" si="29"/>
        <v>0</v>
      </c>
      <c r="AG39">
        <f t="shared" si="30"/>
        <v>0</v>
      </c>
      <c r="AH39">
        <f t="shared" si="31"/>
        <v>0</v>
      </c>
      <c r="AI39">
        <f t="shared" si="32"/>
        <v>0</v>
      </c>
      <c r="AJ39">
        <f t="shared" si="33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83</v>
      </c>
      <c r="AU39">
        <v>65</v>
      </c>
      <c r="AV39">
        <v>1</v>
      </c>
      <c r="AW39">
        <v>1</v>
      </c>
      <c r="AZ39">
        <v>5.99</v>
      </c>
      <c r="BA39">
        <v>1</v>
      </c>
      <c r="BB39">
        <v>1</v>
      </c>
      <c r="BC39">
        <v>5.99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</v>
      </c>
      <c r="BM39">
        <v>58001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83</v>
      </c>
      <c r="CA39">
        <v>65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4"/>
        <v>0</v>
      </c>
      <c r="CQ39">
        <f t="shared" si="35"/>
        <v>0</v>
      </c>
      <c r="CR39">
        <f t="shared" si="36"/>
        <v>0</v>
      </c>
      <c r="CS39">
        <f t="shared" si="37"/>
        <v>0</v>
      </c>
      <c r="CT39">
        <f t="shared" si="38"/>
        <v>0</v>
      </c>
      <c r="CU39">
        <f t="shared" si="39"/>
        <v>0</v>
      </c>
      <c r="CV39">
        <f t="shared" si="40"/>
        <v>0</v>
      </c>
      <c r="CW39">
        <f t="shared" si="41"/>
        <v>0</v>
      </c>
      <c r="CX39">
        <f t="shared" si="42"/>
        <v>0</v>
      </c>
      <c r="CY39">
        <f t="shared" si="43"/>
        <v>0</v>
      </c>
      <c r="CZ39">
        <f t="shared" si="44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57</v>
      </c>
      <c r="DW39" t="s">
        <v>57</v>
      </c>
      <c r="DX39">
        <v>1000</v>
      </c>
      <c r="EE39">
        <v>15139180</v>
      </c>
      <c r="EF39">
        <v>6</v>
      </c>
      <c r="EG39" t="s">
        <v>51</v>
      </c>
      <c r="EH39">
        <v>0</v>
      </c>
      <c r="EI39" t="s">
        <v>6</v>
      </c>
      <c r="EJ39">
        <v>1</v>
      </c>
      <c r="EK39">
        <v>58001</v>
      </c>
      <c r="EL39" t="s">
        <v>52</v>
      </c>
      <c r="EM39" t="s">
        <v>53</v>
      </c>
      <c r="EO39" t="s">
        <v>6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5"/>
        <v>0</v>
      </c>
      <c r="FS39">
        <v>0</v>
      </c>
      <c r="FX39">
        <v>83</v>
      </c>
      <c r="FY39">
        <v>65</v>
      </c>
      <c r="GA39" t="s">
        <v>6</v>
      </c>
      <c r="GD39">
        <v>0</v>
      </c>
      <c r="GF39">
        <v>-179832266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6"/>
        <v>0</v>
      </c>
      <c r="GM39">
        <f t="shared" si="47"/>
        <v>0</v>
      </c>
      <c r="GN39">
        <f t="shared" si="48"/>
        <v>0</v>
      </c>
      <c r="GO39">
        <f t="shared" si="49"/>
        <v>0</v>
      </c>
      <c r="GP39">
        <f t="shared" si="50"/>
        <v>0</v>
      </c>
      <c r="GR39">
        <v>0</v>
      </c>
      <c r="GS39">
        <v>3</v>
      </c>
      <c r="GT39">
        <v>0</v>
      </c>
      <c r="GU39" t="s">
        <v>6</v>
      </c>
      <c r="GV39">
        <f t="shared" si="51"/>
        <v>0</v>
      </c>
      <c r="GW39">
        <v>1</v>
      </c>
      <c r="GX39">
        <f t="shared" si="52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53</v>
      </c>
      <c r="D40" s="2"/>
      <c r="E40" s="2" t="s">
        <v>58</v>
      </c>
      <c r="F40" s="2" t="s">
        <v>59</v>
      </c>
      <c r="G40" s="2" t="s">
        <v>60</v>
      </c>
      <c r="H40" s="2" t="s">
        <v>57</v>
      </c>
      <c r="I40" s="2">
        <f>I36*J40</f>
        <v>3.8087999999999997E-2</v>
      </c>
      <c r="J40" s="2">
        <v>0.184</v>
      </c>
      <c r="K40" s="2"/>
      <c r="L40" s="2"/>
      <c r="M40" s="2"/>
      <c r="N40" s="2"/>
      <c r="O40" s="2">
        <f t="shared" si="14"/>
        <v>0</v>
      </c>
      <c r="P40" s="2">
        <f t="shared" si="15"/>
        <v>0</v>
      </c>
      <c r="Q40" s="2">
        <f t="shared" si="16"/>
        <v>0</v>
      </c>
      <c r="R40" s="2">
        <f t="shared" si="17"/>
        <v>0</v>
      </c>
      <c r="S40" s="2">
        <f t="shared" si="18"/>
        <v>0</v>
      </c>
      <c r="T40" s="2">
        <f t="shared" si="19"/>
        <v>0</v>
      </c>
      <c r="U40" s="2">
        <f t="shared" si="20"/>
        <v>0</v>
      </c>
      <c r="V40" s="2">
        <f t="shared" si="21"/>
        <v>0</v>
      </c>
      <c r="W40" s="2">
        <f t="shared" si="22"/>
        <v>0</v>
      </c>
      <c r="X40" s="2">
        <f t="shared" si="23"/>
        <v>0</v>
      </c>
      <c r="Y40" s="2">
        <f t="shared" si="24"/>
        <v>0</v>
      </c>
      <c r="Z40" s="2"/>
      <c r="AA40" s="2">
        <v>16481626</v>
      </c>
      <c r="AB40" s="2">
        <f t="shared" si="25"/>
        <v>0</v>
      </c>
      <c r="AC40" s="2">
        <f t="shared" si="26"/>
        <v>0</v>
      </c>
      <c r="AD40" s="2">
        <f t="shared" si="27"/>
        <v>0</v>
      </c>
      <c r="AE40" s="2">
        <f t="shared" si="28"/>
        <v>0</v>
      </c>
      <c r="AF40" s="2">
        <f t="shared" si="29"/>
        <v>0</v>
      </c>
      <c r="AG40" s="2">
        <f t="shared" si="30"/>
        <v>0</v>
      </c>
      <c r="AH40" s="2">
        <f t="shared" si="31"/>
        <v>0</v>
      </c>
      <c r="AI40" s="2">
        <f t="shared" si="32"/>
        <v>0</v>
      </c>
      <c r="AJ40" s="2">
        <f t="shared" si="33"/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83</v>
      </c>
      <c r="AU40" s="2">
        <v>65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3</v>
      </c>
      <c r="BI40" s="2">
        <v>1</v>
      </c>
      <c r="BJ40" s="2" t="s">
        <v>6</v>
      </c>
      <c r="BK40" s="2"/>
      <c r="BL40" s="2"/>
      <c r="BM40" s="2">
        <v>58001</v>
      </c>
      <c r="BN40" s="2">
        <v>0</v>
      </c>
      <c r="BO40" s="2" t="s">
        <v>6</v>
      </c>
      <c r="BP40" s="2">
        <v>0</v>
      </c>
      <c r="BQ40" s="2">
        <v>6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83</v>
      </c>
      <c r="CA40" s="2">
        <v>65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4"/>
        <v>0</v>
      </c>
      <c r="CQ40" s="2">
        <f t="shared" si="35"/>
        <v>0</v>
      </c>
      <c r="CR40" s="2">
        <f t="shared" si="36"/>
        <v>0</v>
      </c>
      <c r="CS40" s="2">
        <f t="shared" si="37"/>
        <v>0</v>
      </c>
      <c r="CT40" s="2">
        <f t="shared" si="38"/>
        <v>0</v>
      </c>
      <c r="CU40" s="2">
        <f t="shared" si="39"/>
        <v>0</v>
      </c>
      <c r="CV40" s="2">
        <f t="shared" si="40"/>
        <v>0</v>
      </c>
      <c r="CW40" s="2">
        <f t="shared" si="41"/>
        <v>0</v>
      </c>
      <c r="CX40" s="2">
        <f t="shared" si="42"/>
        <v>0</v>
      </c>
      <c r="CY40" s="2">
        <f t="shared" si="43"/>
        <v>0</v>
      </c>
      <c r="CZ40" s="2">
        <f t="shared" si="44"/>
        <v>0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1009</v>
      </c>
      <c r="DV40" s="2" t="s">
        <v>57</v>
      </c>
      <c r="DW40" s="2" t="s">
        <v>57</v>
      </c>
      <c r="DX40" s="2">
        <v>1000</v>
      </c>
      <c r="DY40" s="2"/>
      <c r="DZ40" s="2"/>
      <c r="EA40" s="2"/>
      <c r="EB40" s="2"/>
      <c r="EC40" s="2"/>
      <c r="ED40" s="2"/>
      <c r="EE40" s="2">
        <v>15139180</v>
      </c>
      <c r="EF40" s="2">
        <v>6</v>
      </c>
      <c r="EG40" s="2" t="s">
        <v>51</v>
      </c>
      <c r="EH40" s="2">
        <v>0</v>
      </c>
      <c r="EI40" s="2" t="s">
        <v>6</v>
      </c>
      <c r="EJ40" s="2">
        <v>1</v>
      </c>
      <c r="EK40" s="2">
        <v>58001</v>
      </c>
      <c r="EL40" s="2" t="s">
        <v>52</v>
      </c>
      <c r="EM40" s="2" t="s">
        <v>53</v>
      </c>
      <c r="EN40" s="2"/>
      <c r="EO40" s="2" t="s">
        <v>6</v>
      </c>
      <c r="EP40" s="2"/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5"/>
        <v>0</v>
      </c>
      <c r="FS40" s="2">
        <v>0</v>
      </c>
      <c r="FT40" s="2"/>
      <c r="FU40" s="2"/>
      <c r="FV40" s="2"/>
      <c r="FW40" s="2"/>
      <c r="FX40" s="2">
        <v>83</v>
      </c>
      <c r="FY40" s="2">
        <v>65</v>
      </c>
      <c r="FZ40" s="2"/>
      <c r="GA40" s="2" t="s">
        <v>6</v>
      </c>
      <c r="GB40" s="2"/>
      <c r="GC40" s="2"/>
      <c r="GD40" s="2">
        <v>0</v>
      </c>
      <c r="GE40" s="2"/>
      <c r="GF40" s="2">
        <v>789990620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6"/>
        <v>0</v>
      </c>
      <c r="GM40" s="2">
        <f t="shared" si="47"/>
        <v>0</v>
      </c>
      <c r="GN40" s="2">
        <f t="shared" si="48"/>
        <v>0</v>
      </c>
      <c r="GO40" s="2">
        <f t="shared" si="49"/>
        <v>0</v>
      </c>
      <c r="GP40" s="2">
        <f t="shared" si="50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51"/>
        <v>0</v>
      </c>
      <c r="GW40" s="2">
        <v>1</v>
      </c>
      <c r="GX40" s="2">
        <f t="shared" si="52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63</v>
      </c>
      <c r="E41" t="s">
        <v>58</v>
      </c>
      <c r="F41" t="s">
        <v>59</v>
      </c>
      <c r="G41" t="s">
        <v>60</v>
      </c>
      <c r="H41" t="s">
        <v>57</v>
      </c>
      <c r="I41">
        <f>I37*J41</f>
        <v>3.8087999999999997E-2</v>
      </c>
      <c r="J41">
        <v>0.184</v>
      </c>
      <c r="O41">
        <f t="shared" si="14"/>
        <v>0</v>
      </c>
      <c r="P41">
        <f t="shared" si="15"/>
        <v>0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16481627</v>
      </c>
      <c r="AB41">
        <f t="shared" si="25"/>
        <v>0</v>
      </c>
      <c r="AC41">
        <f t="shared" si="26"/>
        <v>0</v>
      </c>
      <c r="AD41">
        <f t="shared" si="27"/>
        <v>0</v>
      </c>
      <c r="AE41">
        <f t="shared" si="28"/>
        <v>0</v>
      </c>
      <c r="AF41">
        <f t="shared" si="29"/>
        <v>0</v>
      </c>
      <c r="AG41">
        <f t="shared" si="30"/>
        <v>0</v>
      </c>
      <c r="AH41">
        <f t="shared" si="31"/>
        <v>0</v>
      </c>
      <c r="AI41">
        <f t="shared" si="32"/>
        <v>0</v>
      </c>
      <c r="AJ41">
        <f t="shared" si="33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83</v>
      </c>
      <c r="AU41">
        <v>65</v>
      </c>
      <c r="AV41">
        <v>1</v>
      </c>
      <c r="AW41">
        <v>1</v>
      </c>
      <c r="AZ41">
        <v>5.99</v>
      </c>
      <c r="BA41">
        <v>1</v>
      </c>
      <c r="BB41">
        <v>1</v>
      </c>
      <c r="BC41">
        <v>5.99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</v>
      </c>
      <c r="BM41">
        <v>58001</v>
      </c>
      <c r="BN41">
        <v>0</v>
      </c>
      <c r="BO41" t="s">
        <v>6</v>
      </c>
      <c r="BP41">
        <v>0</v>
      </c>
      <c r="BQ41">
        <v>6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83</v>
      </c>
      <c r="CA41">
        <v>65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4"/>
        <v>0</v>
      </c>
      <c r="CQ41">
        <f t="shared" si="35"/>
        <v>0</v>
      </c>
      <c r="CR41">
        <f t="shared" si="36"/>
        <v>0</v>
      </c>
      <c r="CS41">
        <f t="shared" si="37"/>
        <v>0</v>
      </c>
      <c r="CT41">
        <f t="shared" si="38"/>
        <v>0</v>
      </c>
      <c r="CU41">
        <f t="shared" si="39"/>
        <v>0</v>
      </c>
      <c r="CV41">
        <f t="shared" si="40"/>
        <v>0</v>
      </c>
      <c r="CW41">
        <f t="shared" si="41"/>
        <v>0</v>
      </c>
      <c r="CX41">
        <f t="shared" si="42"/>
        <v>0</v>
      </c>
      <c r="CY41">
        <f t="shared" si="43"/>
        <v>0</v>
      </c>
      <c r="CZ41">
        <f t="shared" si="44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57</v>
      </c>
      <c r="DW41" t="s">
        <v>57</v>
      </c>
      <c r="DX41">
        <v>1000</v>
      </c>
      <c r="EE41">
        <v>15139180</v>
      </c>
      <c r="EF41">
        <v>6</v>
      </c>
      <c r="EG41" t="s">
        <v>51</v>
      </c>
      <c r="EH41">
        <v>0</v>
      </c>
      <c r="EI41" t="s">
        <v>6</v>
      </c>
      <c r="EJ41">
        <v>1</v>
      </c>
      <c r="EK41">
        <v>58001</v>
      </c>
      <c r="EL41" t="s">
        <v>52</v>
      </c>
      <c r="EM41" t="s">
        <v>53</v>
      </c>
      <c r="EO41" t="s">
        <v>6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5"/>
        <v>0</v>
      </c>
      <c r="FS41">
        <v>0</v>
      </c>
      <c r="FX41">
        <v>83</v>
      </c>
      <c r="FY41">
        <v>65</v>
      </c>
      <c r="GA41" t="s">
        <v>6</v>
      </c>
      <c r="GD41">
        <v>0</v>
      </c>
      <c r="GF41">
        <v>789990620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6"/>
        <v>0</v>
      </c>
      <c r="GM41">
        <f t="shared" si="47"/>
        <v>0</v>
      </c>
      <c r="GN41">
        <f t="shared" si="48"/>
        <v>0</v>
      </c>
      <c r="GO41">
        <f t="shared" si="49"/>
        <v>0</v>
      </c>
      <c r="GP41">
        <f t="shared" si="50"/>
        <v>0</v>
      </c>
      <c r="GR41">
        <v>0</v>
      </c>
      <c r="GS41">
        <v>3</v>
      </c>
      <c r="GT41">
        <v>0</v>
      </c>
      <c r="GU41" t="s">
        <v>6</v>
      </c>
      <c r="GV41">
        <f t="shared" si="51"/>
        <v>0</v>
      </c>
      <c r="GW41">
        <v>1</v>
      </c>
      <c r="GX41">
        <f t="shared" si="52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54</v>
      </c>
      <c r="D42" s="2"/>
      <c r="E42" s="2" t="s">
        <v>61</v>
      </c>
      <c r="F42" s="2" t="s">
        <v>62</v>
      </c>
      <c r="G42" s="2" t="s">
        <v>63</v>
      </c>
      <c r="H42" s="2" t="s">
        <v>57</v>
      </c>
      <c r="I42" s="2">
        <f>I36*J42</f>
        <v>3.8087999999999997E-2</v>
      </c>
      <c r="J42" s="2">
        <v>0.184</v>
      </c>
      <c r="K42" s="2"/>
      <c r="L42" s="2"/>
      <c r="M42" s="2"/>
      <c r="N42" s="2"/>
      <c r="O42" s="2">
        <f t="shared" si="14"/>
        <v>331.94</v>
      </c>
      <c r="P42" s="2">
        <f t="shared" si="15"/>
        <v>331.94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16481626</v>
      </c>
      <c r="AB42" s="2">
        <f t="shared" si="25"/>
        <v>8715.1</v>
      </c>
      <c r="AC42" s="2">
        <f t="shared" si="26"/>
        <v>8715.1</v>
      </c>
      <c r="AD42" s="2">
        <f t="shared" si="27"/>
        <v>0</v>
      </c>
      <c r="AE42" s="2">
        <f t="shared" si="28"/>
        <v>0</v>
      </c>
      <c r="AF42" s="2">
        <f t="shared" si="29"/>
        <v>0</v>
      </c>
      <c r="AG42" s="2">
        <f t="shared" si="30"/>
        <v>0</v>
      </c>
      <c r="AH42" s="2">
        <f t="shared" si="31"/>
        <v>0</v>
      </c>
      <c r="AI42" s="2">
        <f t="shared" si="32"/>
        <v>0</v>
      </c>
      <c r="AJ42" s="2">
        <f t="shared" si="33"/>
        <v>0</v>
      </c>
      <c r="AK42" s="2">
        <v>8715.1</v>
      </c>
      <c r="AL42" s="2">
        <v>8715.1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83</v>
      </c>
      <c r="AU42" s="2">
        <v>65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64</v>
      </c>
      <c r="BK42" s="2"/>
      <c r="BL42" s="2"/>
      <c r="BM42" s="2">
        <v>58001</v>
      </c>
      <c r="BN42" s="2">
        <v>0</v>
      </c>
      <c r="BO42" s="2" t="s">
        <v>6</v>
      </c>
      <c r="BP42" s="2">
        <v>0</v>
      </c>
      <c r="BQ42" s="2">
        <v>6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83</v>
      </c>
      <c r="CA42" s="2">
        <v>65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34"/>
        <v>331.94</v>
      </c>
      <c r="CQ42" s="2">
        <f t="shared" si="35"/>
        <v>8715.1</v>
      </c>
      <c r="CR42" s="2">
        <f t="shared" si="36"/>
        <v>0</v>
      </c>
      <c r="CS42" s="2">
        <f t="shared" si="37"/>
        <v>0</v>
      </c>
      <c r="CT42" s="2">
        <f t="shared" si="38"/>
        <v>0</v>
      </c>
      <c r="CU42" s="2">
        <f t="shared" si="39"/>
        <v>0</v>
      </c>
      <c r="CV42" s="2">
        <f t="shared" si="40"/>
        <v>0</v>
      </c>
      <c r="CW42" s="2">
        <f t="shared" si="41"/>
        <v>0</v>
      </c>
      <c r="CX42" s="2">
        <f t="shared" si="42"/>
        <v>0</v>
      </c>
      <c r="CY42" s="2">
        <f t="shared" si="43"/>
        <v>0</v>
      </c>
      <c r="CZ42" s="2">
        <f t="shared" si="44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1009</v>
      </c>
      <c r="DV42" s="2" t="s">
        <v>57</v>
      </c>
      <c r="DW42" s="2" t="s">
        <v>57</v>
      </c>
      <c r="DX42" s="2">
        <v>1000</v>
      </c>
      <c r="DY42" s="2"/>
      <c r="DZ42" s="2"/>
      <c r="EA42" s="2"/>
      <c r="EB42" s="2"/>
      <c r="EC42" s="2"/>
      <c r="ED42" s="2"/>
      <c r="EE42" s="2">
        <v>15139180</v>
      </c>
      <c r="EF42" s="2">
        <v>6</v>
      </c>
      <c r="EG42" s="2" t="s">
        <v>51</v>
      </c>
      <c r="EH42" s="2">
        <v>0</v>
      </c>
      <c r="EI42" s="2" t="s">
        <v>6</v>
      </c>
      <c r="EJ42" s="2">
        <v>1</v>
      </c>
      <c r="EK42" s="2">
        <v>58001</v>
      </c>
      <c r="EL42" s="2" t="s">
        <v>52</v>
      </c>
      <c r="EM42" s="2" t="s">
        <v>53</v>
      </c>
      <c r="EN42" s="2"/>
      <c r="EO42" s="2" t="s">
        <v>6</v>
      </c>
      <c r="EP42" s="2"/>
      <c r="EQ42" s="2">
        <v>0</v>
      </c>
      <c r="ER42" s="2">
        <v>8715.1</v>
      </c>
      <c r="ES42" s="2">
        <v>8715.1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5"/>
        <v>0</v>
      </c>
      <c r="FS42" s="2">
        <v>0</v>
      </c>
      <c r="FT42" s="2"/>
      <c r="FU42" s="2"/>
      <c r="FV42" s="2"/>
      <c r="FW42" s="2"/>
      <c r="FX42" s="2">
        <v>83</v>
      </c>
      <c r="FY42" s="2">
        <v>65</v>
      </c>
      <c r="FZ42" s="2"/>
      <c r="GA42" s="2" t="s">
        <v>6</v>
      </c>
      <c r="GB42" s="2"/>
      <c r="GC42" s="2"/>
      <c r="GD42" s="2">
        <v>0</v>
      </c>
      <c r="GE42" s="2"/>
      <c r="GF42" s="2">
        <v>-1666380182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6"/>
        <v>0</v>
      </c>
      <c r="GM42" s="2">
        <f t="shared" si="47"/>
        <v>331.94</v>
      </c>
      <c r="GN42" s="2">
        <f t="shared" si="48"/>
        <v>331.94</v>
      </c>
      <c r="GO42" s="2">
        <f t="shared" si="49"/>
        <v>0</v>
      </c>
      <c r="GP42" s="2">
        <f t="shared" si="50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51"/>
        <v>0</v>
      </c>
      <c r="GW42" s="2">
        <v>1</v>
      </c>
      <c r="GX42" s="2">
        <f t="shared" si="52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64</v>
      </c>
      <c r="E43" t="s">
        <v>61</v>
      </c>
      <c r="F43" t="s">
        <v>62</v>
      </c>
      <c r="G43" t="s">
        <v>63</v>
      </c>
      <c r="H43" t="s">
        <v>57</v>
      </c>
      <c r="I43">
        <f>I37*J43</f>
        <v>3.8087999999999997E-2</v>
      </c>
      <c r="J43">
        <v>0.184</v>
      </c>
      <c r="O43">
        <f t="shared" si="14"/>
        <v>1988.32</v>
      </c>
      <c r="P43">
        <f t="shared" si="15"/>
        <v>1988.32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16481627</v>
      </c>
      <c r="AB43">
        <f t="shared" si="25"/>
        <v>8715.1</v>
      </c>
      <c r="AC43">
        <f t="shared" si="26"/>
        <v>8715.1</v>
      </c>
      <c r="AD43">
        <f t="shared" si="27"/>
        <v>0</v>
      </c>
      <c r="AE43">
        <f t="shared" si="28"/>
        <v>0</v>
      </c>
      <c r="AF43">
        <f t="shared" si="29"/>
        <v>0</v>
      </c>
      <c r="AG43">
        <f t="shared" si="30"/>
        <v>0</v>
      </c>
      <c r="AH43">
        <f t="shared" si="31"/>
        <v>0</v>
      </c>
      <c r="AI43">
        <f t="shared" si="32"/>
        <v>0</v>
      </c>
      <c r="AJ43">
        <f t="shared" si="33"/>
        <v>0</v>
      </c>
      <c r="AK43">
        <v>8715.1</v>
      </c>
      <c r="AL43">
        <v>8715.1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83</v>
      </c>
      <c r="AU43">
        <v>65</v>
      </c>
      <c r="AV43">
        <v>1</v>
      </c>
      <c r="AW43">
        <v>1</v>
      </c>
      <c r="AZ43">
        <v>5.99</v>
      </c>
      <c r="BA43">
        <v>1</v>
      </c>
      <c r="BB43">
        <v>1</v>
      </c>
      <c r="BC43">
        <v>5.99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64</v>
      </c>
      <c r="BM43">
        <v>58001</v>
      </c>
      <c r="BN43">
        <v>0</v>
      </c>
      <c r="BO43" t="s">
        <v>6</v>
      </c>
      <c r="BP43">
        <v>0</v>
      </c>
      <c r="BQ43">
        <v>6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83</v>
      </c>
      <c r="CA43">
        <v>65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4"/>
        <v>1988.32</v>
      </c>
      <c r="CQ43">
        <f t="shared" si="35"/>
        <v>52203.449000000001</v>
      </c>
      <c r="CR43">
        <f t="shared" si="36"/>
        <v>0</v>
      </c>
      <c r="CS43">
        <f t="shared" si="37"/>
        <v>0</v>
      </c>
      <c r="CT43">
        <f t="shared" si="38"/>
        <v>0</v>
      </c>
      <c r="CU43">
        <f t="shared" si="39"/>
        <v>0</v>
      </c>
      <c r="CV43">
        <f t="shared" si="40"/>
        <v>0</v>
      </c>
      <c r="CW43">
        <f t="shared" si="41"/>
        <v>0</v>
      </c>
      <c r="CX43">
        <f t="shared" si="42"/>
        <v>0</v>
      </c>
      <c r="CY43">
        <f t="shared" si="43"/>
        <v>0</v>
      </c>
      <c r="CZ43">
        <f t="shared" si="44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1009</v>
      </c>
      <c r="DV43" t="s">
        <v>57</v>
      </c>
      <c r="DW43" t="s">
        <v>57</v>
      </c>
      <c r="DX43">
        <v>1000</v>
      </c>
      <c r="EE43">
        <v>15139180</v>
      </c>
      <c r="EF43">
        <v>6</v>
      </c>
      <c r="EG43" t="s">
        <v>51</v>
      </c>
      <c r="EH43">
        <v>0</v>
      </c>
      <c r="EI43" t="s">
        <v>6</v>
      </c>
      <c r="EJ43">
        <v>1</v>
      </c>
      <c r="EK43">
        <v>58001</v>
      </c>
      <c r="EL43" t="s">
        <v>52</v>
      </c>
      <c r="EM43" t="s">
        <v>53</v>
      </c>
      <c r="EO43" t="s">
        <v>6</v>
      </c>
      <c r="EQ43">
        <v>0</v>
      </c>
      <c r="ER43">
        <v>8715.1</v>
      </c>
      <c r="ES43">
        <v>8715.1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5"/>
        <v>0</v>
      </c>
      <c r="FS43">
        <v>0</v>
      </c>
      <c r="FX43">
        <v>83</v>
      </c>
      <c r="FY43">
        <v>65</v>
      </c>
      <c r="GA43" t="s">
        <v>6</v>
      </c>
      <c r="GD43">
        <v>0</v>
      </c>
      <c r="GF43">
        <v>-1666380182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6"/>
        <v>0</v>
      </c>
      <c r="GM43">
        <f t="shared" si="47"/>
        <v>1988.32</v>
      </c>
      <c r="GN43">
        <f t="shared" si="48"/>
        <v>1988.32</v>
      </c>
      <c r="GO43">
        <f t="shared" si="49"/>
        <v>0</v>
      </c>
      <c r="GP43">
        <f t="shared" si="50"/>
        <v>0</v>
      </c>
      <c r="GR43">
        <v>0</v>
      </c>
      <c r="GS43">
        <v>3</v>
      </c>
      <c r="GT43">
        <v>0</v>
      </c>
      <c r="GU43" t="s">
        <v>6</v>
      </c>
      <c r="GV43">
        <f t="shared" si="51"/>
        <v>0</v>
      </c>
      <c r="GW43">
        <v>1</v>
      </c>
      <c r="GX43">
        <f t="shared" si="52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51</v>
      </c>
      <c r="D44" s="2"/>
      <c r="E44" s="2" t="s">
        <v>65</v>
      </c>
      <c r="F44" s="2" t="s">
        <v>66</v>
      </c>
      <c r="G44" s="2" t="s">
        <v>67</v>
      </c>
      <c r="H44" s="2" t="s">
        <v>68</v>
      </c>
      <c r="I44" s="2">
        <f>I36*J44</f>
        <v>20.7</v>
      </c>
      <c r="J44" s="2">
        <v>100</v>
      </c>
      <c r="K44" s="2"/>
      <c r="L44" s="2"/>
      <c r="M44" s="2"/>
      <c r="N44" s="2"/>
      <c r="O44" s="2">
        <f t="shared" si="14"/>
        <v>546.69000000000005</v>
      </c>
      <c r="P44" s="2">
        <f t="shared" si="15"/>
        <v>546.69000000000005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16481626</v>
      </c>
      <c r="AB44" s="2">
        <f t="shared" si="25"/>
        <v>26.41</v>
      </c>
      <c r="AC44" s="2">
        <f t="shared" si="26"/>
        <v>26.41</v>
      </c>
      <c r="AD44" s="2">
        <f t="shared" si="27"/>
        <v>0</v>
      </c>
      <c r="AE44" s="2">
        <f t="shared" si="28"/>
        <v>0</v>
      </c>
      <c r="AF44" s="2">
        <f t="shared" si="29"/>
        <v>0</v>
      </c>
      <c r="AG44" s="2">
        <f t="shared" si="30"/>
        <v>0</v>
      </c>
      <c r="AH44" s="2">
        <f t="shared" si="31"/>
        <v>0</v>
      </c>
      <c r="AI44" s="2">
        <f t="shared" si="32"/>
        <v>0</v>
      </c>
      <c r="AJ44" s="2">
        <f t="shared" si="33"/>
        <v>0</v>
      </c>
      <c r="AK44" s="2">
        <v>26.41</v>
      </c>
      <c r="AL44" s="2">
        <v>26.41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83</v>
      </c>
      <c r="AU44" s="2">
        <v>65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69</v>
      </c>
      <c r="BK44" s="2"/>
      <c r="BL44" s="2"/>
      <c r="BM44" s="2">
        <v>58001</v>
      </c>
      <c r="BN44" s="2">
        <v>0</v>
      </c>
      <c r="BO44" s="2" t="s">
        <v>6</v>
      </c>
      <c r="BP44" s="2">
        <v>0</v>
      </c>
      <c r="BQ44" s="2">
        <v>6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83</v>
      </c>
      <c r="CA44" s="2">
        <v>65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4"/>
        <v>546.69000000000005</v>
      </c>
      <c r="CQ44" s="2">
        <f t="shared" si="35"/>
        <v>26.41</v>
      </c>
      <c r="CR44" s="2">
        <f t="shared" si="36"/>
        <v>0</v>
      </c>
      <c r="CS44" s="2">
        <f t="shared" si="37"/>
        <v>0</v>
      </c>
      <c r="CT44" s="2">
        <f t="shared" si="38"/>
        <v>0</v>
      </c>
      <c r="CU44" s="2">
        <f t="shared" si="39"/>
        <v>0</v>
      </c>
      <c r="CV44" s="2">
        <f t="shared" si="40"/>
        <v>0</v>
      </c>
      <c r="CW44" s="2">
        <f t="shared" si="41"/>
        <v>0</v>
      </c>
      <c r="CX44" s="2">
        <f t="shared" si="42"/>
        <v>0</v>
      </c>
      <c r="CY44" s="2">
        <f t="shared" si="43"/>
        <v>0</v>
      </c>
      <c r="CZ44" s="2">
        <f t="shared" si="44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1013</v>
      </c>
      <c r="DV44" s="2" t="s">
        <v>68</v>
      </c>
      <c r="DW44" s="2" t="s">
        <v>68</v>
      </c>
      <c r="DX44" s="2">
        <v>1</v>
      </c>
      <c r="DY44" s="2"/>
      <c r="DZ44" s="2"/>
      <c r="EA44" s="2"/>
      <c r="EB44" s="2"/>
      <c r="EC44" s="2"/>
      <c r="ED44" s="2"/>
      <c r="EE44" s="2">
        <v>15139180</v>
      </c>
      <c r="EF44" s="2">
        <v>6</v>
      </c>
      <c r="EG44" s="2" t="s">
        <v>51</v>
      </c>
      <c r="EH44" s="2">
        <v>0</v>
      </c>
      <c r="EI44" s="2" t="s">
        <v>6</v>
      </c>
      <c r="EJ44" s="2">
        <v>1</v>
      </c>
      <c r="EK44" s="2">
        <v>58001</v>
      </c>
      <c r="EL44" s="2" t="s">
        <v>52</v>
      </c>
      <c r="EM44" s="2" t="s">
        <v>53</v>
      </c>
      <c r="EN44" s="2"/>
      <c r="EO44" s="2" t="s">
        <v>6</v>
      </c>
      <c r="EP44" s="2"/>
      <c r="EQ44" s="2">
        <v>0</v>
      </c>
      <c r="ER44" s="2">
        <v>26.41</v>
      </c>
      <c r="ES44" s="2">
        <v>26.41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5"/>
        <v>0</v>
      </c>
      <c r="FS44" s="2">
        <v>0</v>
      </c>
      <c r="FT44" s="2"/>
      <c r="FU44" s="2"/>
      <c r="FV44" s="2"/>
      <c r="FW44" s="2"/>
      <c r="FX44" s="2">
        <v>83</v>
      </c>
      <c r="FY44" s="2">
        <v>65</v>
      </c>
      <c r="FZ44" s="2"/>
      <c r="GA44" s="2" t="s">
        <v>6</v>
      </c>
      <c r="GB44" s="2"/>
      <c r="GC44" s="2"/>
      <c r="GD44" s="2">
        <v>0</v>
      </c>
      <c r="GE44" s="2"/>
      <c r="GF44" s="2">
        <v>977476121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6"/>
        <v>0</v>
      </c>
      <c r="GM44" s="2">
        <f t="shared" si="47"/>
        <v>546.69000000000005</v>
      </c>
      <c r="GN44" s="2">
        <f t="shared" si="48"/>
        <v>546.69000000000005</v>
      </c>
      <c r="GO44" s="2">
        <f t="shared" si="49"/>
        <v>0</v>
      </c>
      <c r="GP44" s="2">
        <f t="shared" si="50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51"/>
        <v>0</v>
      </c>
      <c r="GW44" s="2">
        <v>1</v>
      </c>
      <c r="GX44" s="2">
        <f t="shared" si="52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61</v>
      </c>
      <c r="E45" t="s">
        <v>65</v>
      </c>
      <c r="F45" t="s">
        <v>66</v>
      </c>
      <c r="G45" t="s">
        <v>67</v>
      </c>
      <c r="H45" t="s">
        <v>68</v>
      </c>
      <c r="I45">
        <f>I37*J45</f>
        <v>20.7</v>
      </c>
      <c r="J45">
        <v>100</v>
      </c>
      <c r="O45">
        <f t="shared" si="14"/>
        <v>3274.66</v>
      </c>
      <c r="P45">
        <f t="shared" si="15"/>
        <v>3274.66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16481627</v>
      </c>
      <c r="AB45">
        <f t="shared" si="25"/>
        <v>26.41</v>
      </c>
      <c r="AC45">
        <f t="shared" si="26"/>
        <v>26.41</v>
      </c>
      <c r="AD45">
        <f t="shared" si="27"/>
        <v>0</v>
      </c>
      <c r="AE45">
        <f t="shared" si="28"/>
        <v>0</v>
      </c>
      <c r="AF45">
        <f t="shared" si="29"/>
        <v>0</v>
      </c>
      <c r="AG45">
        <f t="shared" si="30"/>
        <v>0</v>
      </c>
      <c r="AH45">
        <f t="shared" si="31"/>
        <v>0</v>
      </c>
      <c r="AI45">
        <f t="shared" si="32"/>
        <v>0</v>
      </c>
      <c r="AJ45">
        <f t="shared" si="33"/>
        <v>0</v>
      </c>
      <c r="AK45">
        <v>26.41</v>
      </c>
      <c r="AL45">
        <v>26.41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83</v>
      </c>
      <c r="AU45">
        <v>65</v>
      </c>
      <c r="AV45">
        <v>1</v>
      </c>
      <c r="AW45">
        <v>1</v>
      </c>
      <c r="AZ45">
        <v>5.99</v>
      </c>
      <c r="BA45">
        <v>1</v>
      </c>
      <c r="BB45">
        <v>1</v>
      </c>
      <c r="BC45">
        <v>5.99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69</v>
      </c>
      <c r="BM45">
        <v>58001</v>
      </c>
      <c r="BN45">
        <v>0</v>
      </c>
      <c r="BO45" t="s">
        <v>6</v>
      </c>
      <c r="BP45">
        <v>0</v>
      </c>
      <c r="BQ45">
        <v>6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83</v>
      </c>
      <c r="CA45">
        <v>65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4"/>
        <v>3274.66</v>
      </c>
      <c r="CQ45">
        <f t="shared" si="35"/>
        <v>158.19589999999999</v>
      </c>
      <c r="CR45">
        <f t="shared" si="36"/>
        <v>0</v>
      </c>
      <c r="CS45">
        <f t="shared" si="37"/>
        <v>0</v>
      </c>
      <c r="CT45">
        <f t="shared" si="38"/>
        <v>0</v>
      </c>
      <c r="CU45">
        <f t="shared" si="39"/>
        <v>0</v>
      </c>
      <c r="CV45">
        <f t="shared" si="40"/>
        <v>0</v>
      </c>
      <c r="CW45">
        <f t="shared" si="41"/>
        <v>0</v>
      </c>
      <c r="CX45">
        <f t="shared" si="42"/>
        <v>0</v>
      </c>
      <c r="CY45">
        <f t="shared" si="43"/>
        <v>0</v>
      </c>
      <c r="CZ45">
        <f t="shared" si="44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1013</v>
      </c>
      <c r="DV45" t="s">
        <v>68</v>
      </c>
      <c r="DW45" t="s">
        <v>68</v>
      </c>
      <c r="DX45">
        <v>1</v>
      </c>
      <c r="EE45">
        <v>15139180</v>
      </c>
      <c r="EF45">
        <v>6</v>
      </c>
      <c r="EG45" t="s">
        <v>51</v>
      </c>
      <c r="EH45">
        <v>0</v>
      </c>
      <c r="EI45" t="s">
        <v>6</v>
      </c>
      <c r="EJ45">
        <v>1</v>
      </c>
      <c r="EK45">
        <v>58001</v>
      </c>
      <c r="EL45" t="s">
        <v>52</v>
      </c>
      <c r="EM45" t="s">
        <v>53</v>
      </c>
      <c r="EO45" t="s">
        <v>6</v>
      </c>
      <c r="EQ45">
        <v>0</v>
      </c>
      <c r="ER45">
        <v>26.41</v>
      </c>
      <c r="ES45">
        <v>26.41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5"/>
        <v>0</v>
      </c>
      <c r="FS45">
        <v>0</v>
      </c>
      <c r="FX45">
        <v>83</v>
      </c>
      <c r="FY45">
        <v>65</v>
      </c>
      <c r="GA45" t="s">
        <v>6</v>
      </c>
      <c r="GD45">
        <v>0</v>
      </c>
      <c r="GF45">
        <v>977476121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6"/>
        <v>0</v>
      </c>
      <c r="GM45">
        <f t="shared" si="47"/>
        <v>3274.66</v>
      </c>
      <c r="GN45">
        <f t="shared" si="48"/>
        <v>3274.66</v>
      </c>
      <c r="GO45">
        <f t="shared" si="49"/>
        <v>0</v>
      </c>
      <c r="GP45">
        <f t="shared" si="50"/>
        <v>0</v>
      </c>
      <c r="GR45">
        <v>0</v>
      </c>
      <c r="GS45">
        <v>3</v>
      </c>
      <c r="GT45">
        <v>0</v>
      </c>
      <c r="GU45" t="s">
        <v>6</v>
      </c>
      <c r="GV45">
        <f t="shared" si="51"/>
        <v>0</v>
      </c>
      <c r="GW45">
        <v>1</v>
      </c>
      <c r="GX45">
        <f t="shared" si="52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ROW(SmtRes!A70)</f>
        <v>70</v>
      </c>
      <c r="D46" s="2">
        <f>ROW(EtalonRes!A64)</f>
        <v>64</v>
      </c>
      <c r="E46" s="2" t="s">
        <v>70</v>
      </c>
      <c r="F46" s="2" t="s">
        <v>71</v>
      </c>
      <c r="G46" s="2" t="s">
        <v>72</v>
      </c>
      <c r="H46" s="2" t="s">
        <v>16</v>
      </c>
      <c r="I46" s="2">
        <f>ROUND(26.28/100,9)</f>
        <v>0.26279999999999998</v>
      </c>
      <c r="J46" s="2">
        <v>0</v>
      </c>
      <c r="K46" s="2"/>
      <c r="L46" s="2"/>
      <c r="M46" s="2"/>
      <c r="N46" s="2"/>
      <c r="O46" s="2">
        <f t="shared" si="14"/>
        <v>836.85</v>
      </c>
      <c r="P46" s="2">
        <f t="shared" si="15"/>
        <v>299.66000000000003</v>
      </c>
      <c r="Q46" s="2">
        <f t="shared" si="16"/>
        <v>5.5</v>
      </c>
      <c r="R46" s="2">
        <f t="shared" si="17"/>
        <v>2.38</v>
      </c>
      <c r="S46" s="2">
        <f t="shared" si="18"/>
        <v>531.69000000000005</v>
      </c>
      <c r="T46" s="2">
        <f t="shared" si="19"/>
        <v>0</v>
      </c>
      <c r="U46" s="2">
        <f t="shared" si="20"/>
        <v>60.010379999999991</v>
      </c>
      <c r="V46" s="2">
        <f t="shared" si="21"/>
        <v>0.17607599999999998</v>
      </c>
      <c r="W46" s="2">
        <f t="shared" si="22"/>
        <v>0</v>
      </c>
      <c r="X46" s="2">
        <f t="shared" si="23"/>
        <v>421.92</v>
      </c>
      <c r="Y46" s="2">
        <f t="shared" si="24"/>
        <v>267.04000000000002</v>
      </c>
      <c r="Z46" s="2"/>
      <c r="AA46" s="2">
        <v>16481626</v>
      </c>
      <c r="AB46" s="2">
        <f t="shared" si="25"/>
        <v>3184.37</v>
      </c>
      <c r="AC46" s="2">
        <f t="shared" si="26"/>
        <v>1140.25</v>
      </c>
      <c r="AD46" s="2">
        <f t="shared" si="27"/>
        <v>20.94</v>
      </c>
      <c r="AE46" s="2">
        <f t="shared" si="28"/>
        <v>9.0500000000000007</v>
      </c>
      <c r="AF46" s="2">
        <f t="shared" si="29"/>
        <v>2023.18</v>
      </c>
      <c r="AG46" s="2">
        <f t="shared" si="30"/>
        <v>0</v>
      </c>
      <c r="AH46" s="2">
        <f t="shared" si="31"/>
        <v>228.35</v>
      </c>
      <c r="AI46" s="2">
        <f t="shared" si="32"/>
        <v>0.67</v>
      </c>
      <c r="AJ46" s="2">
        <f t="shared" si="33"/>
        <v>0</v>
      </c>
      <c r="AK46" s="2">
        <v>3184.37</v>
      </c>
      <c r="AL46" s="2">
        <v>1140.25</v>
      </c>
      <c r="AM46" s="2">
        <v>20.94</v>
      </c>
      <c r="AN46" s="2">
        <v>9.0500000000000007</v>
      </c>
      <c r="AO46" s="2">
        <v>2023.18</v>
      </c>
      <c r="AP46" s="2">
        <v>0</v>
      </c>
      <c r="AQ46" s="2">
        <v>228.35</v>
      </c>
      <c r="AR46" s="2">
        <v>0.67</v>
      </c>
      <c r="AS46" s="2">
        <v>0</v>
      </c>
      <c r="AT46" s="2">
        <v>79</v>
      </c>
      <c r="AU46" s="2">
        <v>50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73</v>
      </c>
      <c r="BK46" s="2"/>
      <c r="BL46" s="2"/>
      <c r="BM46" s="2">
        <v>61001</v>
      </c>
      <c r="BN46" s="2">
        <v>0</v>
      </c>
      <c r="BO46" s="2" t="s">
        <v>6</v>
      </c>
      <c r="BP46" s="2">
        <v>0</v>
      </c>
      <c r="BQ46" s="2">
        <v>6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79</v>
      </c>
      <c r="CA46" s="2">
        <v>50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34"/>
        <v>836.85000000000014</v>
      </c>
      <c r="CQ46" s="2">
        <f t="shared" si="35"/>
        <v>1140.25</v>
      </c>
      <c r="CR46" s="2">
        <f t="shared" si="36"/>
        <v>20.94</v>
      </c>
      <c r="CS46" s="2">
        <f t="shared" si="37"/>
        <v>9.0500000000000007</v>
      </c>
      <c r="CT46" s="2">
        <f t="shared" si="38"/>
        <v>2023.18</v>
      </c>
      <c r="CU46" s="2">
        <f t="shared" si="39"/>
        <v>0</v>
      </c>
      <c r="CV46" s="2">
        <f t="shared" si="40"/>
        <v>228.35</v>
      </c>
      <c r="CW46" s="2">
        <f t="shared" si="41"/>
        <v>0.67</v>
      </c>
      <c r="CX46" s="2">
        <f t="shared" si="42"/>
        <v>0</v>
      </c>
      <c r="CY46" s="2">
        <f t="shared" si="43"/>
        <v>421.91530000000006</v>
      </c>
      <c r="CZ46" s="2">
        <f t="shared" si="44"/>
        <v>267.03500000000003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16</v>
      </c>
      <c r="DW46" s="2" t="s">
        <v>16</v>
      </c>
      <c r="DX46" s="2">
        <v>100</v>
      </c>
      <c r="DY46" s="2"/>
      <c r="DZ46" s="2"/>
      <c r="EA46" s="2"/>
      <c r="EB46" s="2"/>
      <c r="EC46" s="2"/>
      <c r="ED46" s="2"/>
      <c r="EE46" s="2">
        <v>15139183</v>
      </c>
      <c r="EF46" s="2">
        <v>6</v>
      </c>
      <c r="EG46" s="2" t="s">
        <v>51</v>
      </c>
      <c r="EH46" s="2">
        <v>0</v>
      </c>
      <c r="EI46" s="2" t="s">
        <v>6</v>
      </c>
      <c r="EJ46" s="2">
        <v>1</v>
      </c>
      <c r="EK46" s="2">
        <v>61001</v>
      </c>
      <c r="EL46" s="2" t="s">
        <v>74</v>
      </c>
      <c r="EM46" s="2" t="s">
        <v>75</v>
      </c>
      <c r="EN46" s="2"/>
      <c r="EO46" s="2" t="s">
        <v>6</v>
      </c>
      <c r="EP46" s="2"/>
      <c r="EQ46" s="2">
        <v>0</v>
      </c>
      <c r="ER46" s="2">
        <v>3184.37</v>
      </c>
      <c r="ES46" s="2">
        <v>1140.25</v>
      </c>
      <c r="ET46" s="2">
        <v>20.94</v>
      </c>
      <c r="EU46" s="2">
        <v>9.0500000000000007</v>
      </c>
      <c r="EV46" s="2">
        <v>2023.18</v>
      </c>
      <c r="EW46" s="2">
        <v>228.35</v>
      </c>
      <c r="EX46" s="2">
        <v>0.67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5"/>
        <v>0</v>
      </c>
      <c r="FS46" s="2">
        <v>0</v>
      </c>
      <c r="FT46" s="2"/>
      <c r="FU46" s="2"/>
      <c r="FV46" s="2"/>
      <c r="FW46" s="2"/>
      <c r="FX46" s="2">
        <v>79</v>
      </c>
      <c r="FY46" s="2">
        <v>50</v>
      </c>
      <c r="FZ46" s="2"/>
      <c r="GA46" s="2" t="s">
        <v>6</v>
      </c>
      <c r="GB46" s="2"/>
      <c r="GC46" s="2"/>
      <c r="GD46" s="2">
        <v>0</v>
      </c>
      <c r="GE46" s="2"/>
      <c r="GF46" s="2">
        <v>517205319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6"/>
        <v>0</v>
      </c>
      <c r="GM46" s="2">
        <f t="shared" si="47"/>
        <v>1525.81</v>
      </c>
      <c r="GN46" s="2">
        <f t="shared" si="48"/>
        <v>1525.81</v>
      </c>
      <c r="GO46" s="2">
        <f t="shared" si="49"/>
        <v>0</v>
      </c>
      <c r="GP46" s="2">
        <f t="shared" si="50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1"/>
        <v>0</v>
      </c>
      <c r="GW46" s="2">
        <v>1</v>
      </c>
      <c r="GX46" s="2">
        <f t="shared" si="52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ROW(SmtRes!A76)</f>
        <v>76</v>
      </c>
      <c r="D47">
        <f>ROW(EtalonRes!A70)</f>
        <v>70</v>
      </c>
      <c r="E47" t="s">
        <v>70</v>
      </c>
      <c r="F47" t="s">
        <v>71</v>
      </c>
      <c r="G47" t="s">
        <v>72</v>
      </c>
      <c r="H47" t="s">
        <v>16</v>
      </c>
      <c r="I47">
        <f>ROUND(26.28/100,9)</f>
        <v>0.26279999999999998</v>
      </c>
      <c r="J47">
        <v>0</v>
      </c>
      <c r="O47">
        <f t="shared" si="14"/>
        <v>5012.74</v>
      </c>
      <c r="P47">
        <f t="shared" si="15"/>
        <v>1794.95</v>
      </c>
      <c r="Q47">
        <f t="shared" si="16"/>
        <v>32.96</v>
      </c>
      <c r="R47">
        <f t="shared" si="17"/>
        <v>14.25</v>
      </c>
      <c r="S47">
        <f t="shared" si="18"/>
        <v>3184.83</v>
      </c>
      <c r="T47">
        <f t="shared" si="19"/>
        <v>0</v>
      </c>
      <c r="U47">
        <f t="shared" si="20"/>
        <v>60.010379999999991</v>
      </c>
      <c r="V47">
        <f t="shared" si="21"/>
        <v>0.17607599999999998</v>
      </c>
      <c r="W47">
        <f t="shared" si="22"/>
        <v>0</v>
      </c>
      <c r="X47">
        <f t="shared" si="23"/>
        <v>2527.27</v>
      </c>
      <c r="Y47">
        <f t="shared" si="24"/>
        <v>1599.54</v>
      </c>
      <c r="AA47">
        <v>16481627</v>
      </c>
      <c r="AB47">
        <f t="shared" si="25"/>
        <v>3184.37</v>
      </c>
      <c r="AC47">
        <f t="shared" si="26"/>
        <v>1140.25</v>
      </c>
      <c r="AD47">
        <f t="shared" si="27"/>
        <v>20.94</v>
      </c>
      <c r="AE47">
        <f t="shared" si="28"/>
        <v>9.0500000000000007</v>
      </c>
      <c r="AF47">
        <f t="shared" si="29"/>
        <v>2023.18</v>
      </c>
      <c r="AG47">
        <f t="shared" si="30"/>
        <v>0</v>
      </c>
      <c r="AH47">
        <f t="shared" si="31"/>
        <v>228.35</v>
      </c>
      <c r="AI47">
        <f t="shared" si="32"/>
        <v>0.67</v>
      </c>
      <c r="AJ47">
        <f t="shared" si="33"/>
        <v>0</v>
      </c>
      <c r="AK47">
        <v>3184.37</v>
      </c>
      <c r="AL47">
        <v>1140.25</v>
      </c>
      <c r="AM47">
        <v>20.94</v>
      </c>
      <c r="AN47">
        <v>9.0500000000000007</v>
      </c>
      <c r="AO47">
        <v>2023.18</v>
      </c>
      <c r="AP47">
        <v>0</v>
      </c>
      <c r="AQ47">
        <v>228.35</v>
      </c>
      <c r="AR47">
        <v>0.67</v>
      </c>
      <c r="AS47">
        <v>0</v>
      </c>
      <c r="AT47">
        <v>79</v>
      </c>
      <c r="AU47">
        <v>50</v>
      </c>
      <c r="AV47">
        <v>1</v>
      </c>
      <c r="AW47">
        <v>1</v>
      </c>
      <c r="AZ47">
        <v>5.99</v>
      </c>
      <c r="BA47">
        <v>5.99</v>
      </c>
      <c r="BB47">
        <v>5.99</v>
      </c>
      <c r="BC47">
        <v>5.99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73</v>
      </c>
      <c r="BM47">
        <v>61001</v>
      </c>
      <c r="BN47">
        <v>0</v>
      </c>
      <c r="BO47" t="s">
        <v>6</v>
      </c>
      <c r="BP47">
        <v>0</v>
      </c>
      <c r="BQ47">
        <v>6</v>
      </c>
      <c r="BR47">
        <v>0</v>
      </c>
      <c r="BS47">
        <v>5.99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79</v>
      </c>
      <c r="CA47">
        <v>50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4"/>
        <v>5012.74</v>
      </c>
      <c r="CQ47">
        <f t="shared" si="35"/>
        <v>6830.0974999999999</v>
      </c>
      <c r="CR47">
        <f t="shared" si="36"/>
        <v>125.43060000000001</v>
      </c>
      <c r="CS47">
        <f t="shared" si="37"/>
        <v>54.209500000000006</v>
      </c>
      <c r="CT47">
        <f t="shared" si="38"/>
        <v>12118.8482</v>
      </c>
      <c r="CU47">
        <f t="shared" si="39"/>
        <v>0</v>
      </c>
      <c r="CV47">
        <f t="shared" si="40"/>
        <v>228.35</v>
      </c>
      <c r="CW47">
        <f t="shared" si="41"/>
        <v>0.67</v>
      </c>
      <c r="CX47">
        <f t="shared" si="42"/>
        <v>0</v>
      </c>
      <c r="CY47">
        <f t="shared" si="43"/>
        <v>2527.2732000000001</v>
      </c>
      <c r="CZ47">
        <f t="shared" si="44"/>
        <v>1599.54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16</v>
      </c>
      <c r="DW47" t="s">
        <v>16</v>
      </c>
      <c r="DX47">
        <v>100</v>
      </c>
      <c r="EE47">
        <v>15139183</v>
      </c>
      <c r="EF47">
        <v>6</v>
      </c>
      <c r="EG47" t="s">
        <v>51</v>
      </c>
      <c r="EH47">
        <v>0</v>
      </c>
      <c r="EI47" t="s">
        <v>6</v>
      </c>
      <c r="EJ47">
        <v>1</v>
      </c>
      <c r="EK47">
        <v>61001</v>
      </c>
      <c r="EL47" t="s">
        <v>74</v>
      </c>
      <c r="EM47" t="s">
        <v>75</v>
      </c>
      <c r="EO47" t="s">
        <v>6</v>
      </c>
      <c r="EQ47">
        <v>0</v>
      </c>
      <c r="ER47">
        <v>3184.37</v>
      </c>
      <c r="ES47">
        <v>1140.25</v>
      </c>
      <c r="ET47">
        <v>20.94</v>
      </c>
      <c r="EU47">
        <v>9.0500000000000007</v>
      </c>
      <c r="EV47">
        <v>2023.18</v>
      </c>
      <c r="EW47">
        <v>228.35</v>
      </c>
      <c r="EX47">
        <v>0.67</v>
      </c>
      <c r="EY47">
        <v>0</v>
      </c>
      <c r="FQ47">
        <v>0</v>
      </c>
      <c r="FR47">
        <f t="shared" si="45"/>
        <v>0</v>
      </c>
      <c r="FS47">
        <v>0</v>
      </c>
      <c r="FX47">
        <v>79</v>
      </c>
      <c r="FY47">
        <v>50</v>
      </c>
      <c r="GA47" t="s">
        <v>6</v>
      </c>
      <c r="GD47">
        <v>0</v>
      </c>
      <c r="GF47">
        <v>517205319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6"/>
        <v>0</v>
      </c>
      <c r="GM47">
        <f t="shared" si="47"/>
        <v>9139.5499999999993</v>
      </c>
      <c r="GN47">
        <f t="shared" si="48"/>
        <v>9139.5499999999993</v>
      </c>
      <c r="GO47">
        <f t="shared" si="49"/>
        <v>0</v>
      </c>
      <c r="GP47">
        <f t="shared" si="50"/>
        <v>0</v>
      </c>
      <c r="GR47">
        <v>0</v>
      </c>
      <c r="GS47">
        <v>3</v>
      </c>
      <c r="GT47">
        <v>0</v>
      </c>
      <c r="GU47" t="s">
        <v>6</v>
      </c>
      <c r="GV47">
        <f t="shared" si="51"/>
        <v>0</v>
      </c>
      <c r="GW47">
        <v>1</v>
      </c>
      <c r="GX47">
        <f t="shared" si="52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69</v>
      </c>
      <c r="D48" s="2"/>
      <c r="E48" s="2" t="s">
        <v>76</v>
      </c>
      <c r="F48" s="2" t="s">
        <v>55</v>
      </c>
      <c r="G48" s="2" t="s">
        <v>56</v>
      </c>
      <c r="H48" s="2" t="s">
        <v>57</v>
      </c>
      <c r="I48" s="2">
        <f>I46*J48</f>
        <v>0.88826400000000005</v>
      </c>
      <c r="J48" s="2">
        <v>3.3800000000000003</v>
      </c>
      <c r="K48" s="2"/>
      <c r="L48" s="2"/>
      <c r="M48" s="2"/>
      <c r="N48" s="2"/>
      <c r="O48" s="2">
        <f t="shared" si="14"/>
        <v>0</v>
      </c>
      <c r="P48" s="2">
        <f t="shared" si="15"/>
        <v>0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16481626</v>
      </c>
      <c r="AB48" s="2">
        <f t="shared" si="25"/>
        <v>0</v>
      </c>
      <c r="AC48" s="2">
        <f t="shared" si="26"/>
        <v>0</v>
      </c>
      <c r="AD48" s="2">
        <f t="shared" si="27"/>
        <v>0</v>
      </c>
      <c r="AE48" s="2">
        <f t="shared" si="28"/>
        <v>0</v>
      </c>
      <c r="AF48" s="2">
        <f t="shared" si="29"/>
        <v>0</v>
      </c>
      <c r="AG48" s="2">
        <f t="shared" si="30"/>
        <v>0</v>
      </c>
      <c r="AH48" s="2">
        <f t="shared" si="31"/>
        <v>0</v>
      </c>
      <c r="AI48" s="2">
        <f t="shared" si="32"/>
        <v>0</v>
      </c>
      <c r="AJ48" s="2">
        <f t="shared" si="33"/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79</v>
      </c>
      <c r="AU48" s="2">
        <v>50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6</v>
      </c>
      <c r="BK48" s="2"/>
      <c r="BL48" s="2"/>
      <c r="BM48" s="2">
        <v>61001</v>
      </c>
      <c r="BN48" s="2">
        <v>0</v>
      </c>
      <c r="BO48" s="2" t="s">
        <v>6</v>
      </c>
      <c r="BP48" s="2">
        <v>0</v>
      </c>
      <c r="BQ48" s="2">
        <v>6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79</v>
      </c>
      <c r="CA48" s="2">
        <v>50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4"/>
        <v>0</v>
      </c>
      <c r="CQ48" s="2">
        <f t="shared" si="35"/>
        <v>0</v>
      </c>
      <c r="CR48" s="2">
        <f t="shared" si="36"/>
        <v>0</v>
      </c>
      <c r="CS48" s="2">
        <f t="shared" si="37"/>
        <v>0</v>
      </c>
      <c r="CT48" s="2">
        <f t="shared" si="38"/>
        <v>0</v>
      </c>
      <c r="CU48" s="2">
        <f t="shared" si="39"/>
        <v>0</v>
      </c>
      <c r="CV48" s="2">
        <f t="shared" si="40"/>
        <v>0</v>
      </c>
      <c r="CW48" s="2">
        <f t="shared" si="41"/>
        <v>0</v>
      </c>
      <c r="CX48" s="2">
        <f t="shared" si="42"/>
        <v>0</v>
      </c>
      <c r="CY48" s="2">
        <f t="shared" si="43"/>
        <v>0</v>
      </c>
      <c r="CZ48" s="2">
        <f t="shared" si="44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1009</v>
      </c>
      <c r="DV48" s="2" t="s">
        <v>57</v>
      </c>
      <c r="DW48" s="2" t="s">
        <v>57</v>
      </c>
      <c r="DX48" s="2">
        <v>1000</v>
      </c>
      <c r="DY48" s="2"/>
      <c r="DZ48" s="2"/>
      <c r="EA48" s="2"/>
      <c r="EB48" s="2"/>
      <c r="EC48" s="2"/>
      <c r="ED48" s="2"/>
      <c r="EE48" s="2">
        <v>15139183</v>
      </c>
      <c r="EF48" s="2">
        <v>6</v>
      </c>
      <c r="EG48" s="2" t="s">
        <v>51</v>
      </c>
      <c r="EH48" s="2">
        <v>0</v>
      </c>
      <c r="EI48" s="2" t="s">
        <v>6</v>
      </c>
      <c r="EJ48" s="2">
        <v>1</v>
      </c>
      <c r="EK48" s="2">
        <v>61001</v>
      </c>
      <c r="EL48" s="2" t="s">
        <v>74</v>
      </c>
      <c r="EM48" s="2" t="s">
        <v>75</v>
      </c>
      <c r="EN48" s="2"/>
      <c r="EO48" s="2" t="s">
        <v>6</v>
      </c>
      <c r="EP48" s="2"/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5"/>
        <v>0</v>
      </c>
      <c r="FS48" s="2">
        <v>0</v>
      </c>
      <c r="FT48" s="2"/>
      <c r="FU48" s="2"/>
      <c r="FV48" s="2"/>
      <c r="FW48" s="2"/>
      <c r="FX48" s="2">
        <v>79</v>
      </c>
      <c r="FY48" s="2">
        <v>50</v>
      </c>
      <c r="FZ48" s="2"/>
      <c r="GA48" s="2" t="s">
        <v>6</v>
      </c>
      <c r="GB48" s="2"/>
      <c r="GC48" s="2"/>
      <c r="GD48" s="2">
        <v>0</v>
      </c>
      <c r="GE48" s="2"/>
      <c r="GF48" s="2">
        <v>-179832266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6"/>
        <v>0</v>
      </c>
      <c r="GM48" s="2">
        <f t="shared" si="47"/>
        <v>0</v>
      </c>
      <c r="GN48" s="2">
        <f t="shared" si="48"/>
        <v>0</v>
      </c>
      <c r="GO48" s="2">
        <f t="shared" si="49"/>
        <v>0</v>
      </c>
      <c r="GP48" s="2">
        <f t="shared" si="50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51"/>
        <v>0</v>
      </c>
      <c r="GW48" s="2">
        <v>1</v>
      </c>
      <c r="GX48" s="2">
        <f t="shared" si="52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75</v>
      </c>
      <c r="E49" t="s">
        <v>76</v>
      </c>
      <c r="F49" t="s">
        <v>55</v>
      </c>
      <c r="G49" t="s">
        <v>56</v>
      </c>
      <c r="H49" t="s">
        <v>57</v>
      </c>
      <c r="I49">
        <f>I47*J49</f>
        <v>0.88826400000000005</v>
      </c>
      <c r="J49">
        <v>3.3800000000000003</v>
      </c>
      <c r="O49">
        <f t="shared" si="14"/>
        <v>0</v>
      </c>
      <c r="P49">
        <f t="shared" si="15"/>
        <v>0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16481627</v>
      </c>
      <c r="AB49">
        <f t="shared" si="25"/>
        <v>0</v>
      </c>
      <c r="AC49">
        <f t="shared" si="26"/>
        <v>0</v>
      </c>
      <c r="AD49">
        <f t="shared" si="27"/>
        <v>0</v>
      </c>
      <c r="AE49">
        <f t="shared" si="28"/>
        <v>0</v>
      </c>
      <c r="AF49">
        <f t="shared" si="29"/>
        <v>0</v>
      </c>
      <c r="AG49">
        <f t="shared" si="30"/>
        <v>0</v>
      </c>
      <c r="AH49">
        <f t="shared" si="31"/>
        <v>0</v>
      </c>
      <c r="AI49">
        <f t="shared" si="32"/>
        <v>0</v>
      </c>
      <c r="AJ49">
        <f t="shared" si="33"/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79</v>
      </c>
      <c r="AU49">
        <v>50</v>
      </c>
      <c r="AV49">
        <v>1</v>
      </c>
      <c r="AW49">
        <v>1</v>
      </c>
      <c r="AZ49">
        <v>5.99</v>
      </c>
      <c r="BA49">
        <v>1</v>
      </c>
      <c r="BB49">
        <v>1</v>
      </c>
      <c r="BC49">
        <v>5.99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6</v>
      </c>
      <c r="BM49">
        <v>61001</v>
      </c>
      <c r="BN49">
        <v>0</v>
      </c>
      <c r="BO49" t="s">
        <v>6</v>
      </c>
      <c r="BP49">
        <v>0</v>
      </c>
      <c r="BQ49">
        <v>6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79</v>
      </c>
      <c r="CA49">
        <v>50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4"/>
        <v>0</v>
      </c>
      <c r="CQ49">
        <f t="shared" si="35"/>
        <v>0</v>
      </c>
      <c r="CR49">
        <f t="shared" si="36"/>
        <v>0</v>
      </c>
      <c r="CS49">
        <f t="shared" si="37"/>
        <v>0</v>
      </c>
      <c r="CT49">
        <f t="shared" si="38"/>
        <v>0</v>
      </c>
      <c r="CU49">
        <f t="shared" si="39"/>
        <v>0</v>
      </c>
      <c r="CV49">
        <f t="shared" si="40"/>
        <v>0</v>
      </c>
      <c r="CW49">
        <f t="shared" si="41"/>
        <v>0</v>
      </c>
      <c r="CX49">
        <f t="shared" si="42"/>
        <v>0</v>
      </c>
      <c r="CY49">
        <f t="shared" si="43"/>
        <v>0</v>
      </c>
      <c r="CZ49">
        <f t="shared" si="44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1009</v>
      </c>
      <c r="DV49" t="s">
        <v>57</v>
      </c>
      <c r="DW49" t="s">
        <v>57</v>
      </c>
      <c r="DX49">
        <v>1000</v>
      </c>
      <c r="EE49">
        <v>15139183</v>
      </c>
      <c r="EF49">
        <v>6</v>
      </c>
      <c r="EG49" t="s">
        <v>51</v>
      </c>
      <c r="EH49">
        <v>0</v>
      </c>
      <c r="EI49" t="s">
        <v>6</v>
      </c>
      <c r="EJ49">
        <v>1</v>
      </c>
      <c r="EK49">
        <v>61001</v>
      </c>
      <c r="EL49" t="s">
        <v>74</v>
      </c>
      <c r="EM49" t="s">
        <v>75</v>
      </c>
      <c r="EO49" t="s">
        <v>6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5"/>
        <v>0</v>
      </c>
      <c r="FS49">
        <v>0</v>
      </c>
      <c r="FX49">
        <v>79</v>
      </c>
      <c r="FY49">
        <v>50</v>
      </c>
      <c r="GA49" t="s">
        <v>6</v>
      </c>
      <c r="GD49">
        <v>0</v>
      </c>
      <c r="GF49">
        <v>-179832266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6"/>
        <v>0</v>
      </c>
      <c r="GM49">
        <f t="shared" si="47"/>
        <v>0</v>
      </c>
      <c r="GN49">
        <f t="shared" si="48"/>
        <v>0</v>
      </c>
      <c r="GO49">
        <f t="shared" si="49"/>
        <v>0</v>
      </c>
      <c r="GP49">
        <f t="shared" si="50"/>
        <v>0</v>
      </c>
      <c r="GR49">
        <v>0</v>
      </c>
      <c r="GS49">
        <v>3</v>
      </c>
      <c r="GT49">
        <v>0</v>
      </c>
      <c r="GU49" t="s">
        <v>6</v>
      </c>
      <c r="GV49">
        <f t="shared" si="51"/>
        <v>0</v>
      </c>
      <c r="GW49">
        <v>1</v>
      </c>
      <c r="GX49">
        <f t="shared" si="52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ROW(SmtRes!A89)</f>
        <v>89</v>
      </c>
      <c r="D50" s="2">
        <f>ROW(EtalonRes!A82)</f>
        <v>82</v>
      </c>
      <c r="E50" s="2" t="s">
        <v>77</v>
      </c>
      <c r="F50" s="2" t="s">
        <v>78</v>
      </c>
      <c r="G50" s="2" t="s">
        <v>79</v>
      </c>
      <c r="H50" s="2" t="s">
        <v>16</v>
      </c>
      <c r="I50" s="2">
        <f>ROUND(26.28/100,9)</f>
        <v>0.26279999999999998</v>
      </c>
      <c r="J50" s="2">
        <v>0</v>
      </c>
      <c r="K50" s="2"/>
      <c r="L50" s="2"/>
      <c r="M50" s="2"/>
      <c r="N50" s="2"/>
      <c r="O50" s="2">
        <f t="shared" si="14"/>
        <v>199.48</v>
      </c>
      <c r="P50" s="2">
        <f t="shared" si="15"/>
        <v>130.41</v>
      </c>
      <c r="Q50" s="2">
        <f t="shared" si="16"/>
        <v>1.86</v>
      </c>
      <c r="R50" s="2">
        <f t="shared" si="17"/>
        <v>0.54</v>
      </c>
      <c r="S50" s="2">
        <f t="shared" si="18"/>
        <v>67.209999999999994</v>
      </c>
      <c r="T50" s="2">
        <f t="shared" si="19"/>
        <v>0</v>
      </c>
      <c r="U50" s="2">
        <f t="shared" si="20"/>
        <v>7.77888</v>
      </c>
      <c r="V50" s="2">
        <f t="shared" si="21"/>
        <v>4.2047999999999995E-2</v>
      </c>
      <c r="W50" s="2">
        <f t="shared" si="22"/>
        <v>0</v>
      </c>
      <c r="X50" s="2">
        <f t="shared" si="23"/>
        <v>54.2</v>
      </c>
      <c r="Y50" s="2">
        <f t="shared" si="24"/>
        <v>33.880000000000003</v>
      </c>
      <c r="Z50" s="2"/>
      <c r="AA50" s="2">
        <v>16481626</v>
      </c>
      <c r="AB50" s="2">
        <f t="shared" si="25"/>
        <v>759.03</v>
      </c>
      <c r="AC50" s="2">
        <f t="shared" si="26"/>
        <v>496.22</v>
      </c>
      <c r="AD50" s="2">
        <f t="shared" si="27"/>
        <v>7.07</v>
      </c>
      <c r="AE50" s="2">
        <f t="shared" si="28"/>
        <v>2.0499999999999998</v>
      </c>
      <c r="AF50" s="2">
        <f t="shared" si="29"/>
        <v>255.74</v>
      </c>
      <c r="AG50" s="2">
        <f t="shared" si="30"/>
        <v>0</v>
      </c>
      <c r="AH50" s="2">
        <f t="shared" si="31"/>
        <v>29.6</v>
      </c>
      <c r="AI50" s="2">
        <f t="shared" si="32"/>
        <v>0.16</v>
      </c>
      <c r="AJ50" s="2">
        <f t="shared" si="33"/>
        <v>0</v>
      </c>
      <c r="AK50" s="2">
        <v>759.03</v>
      </c>
      <c r="AL50" s="2">
        <v>496.22</v>
      </c>
      <c r="AM50" s="2">
        <v>7.07</v>
      </c>
      <c r="AN50" s="2">
        <v>2.0499999999999998</v>
      </c>
      <c r="AO50" s="2">
        <v>255.74</v>
      </c>
      <c r="AP50" s="2">
        <v>0</v>
      </c>
      <c r="AQ50" s="2">
        <v>29.6</v>
      </c>
      <c r="AR50" s="2">
        <v>0.16</v>
      </c>
      <c r="AS50" s="2">
        <v>0</v>
      </c>
      <c r="AT50" s="2">
        <v>80</v>
      </c>
      <c r="AU50" s="2">
        <v>50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0</v>
      </c>
      <c r="BI50" s="2">
        <v>1</v>
      </c>
      <c r="BJ50" s="2" t="s">
        <v>80</v>
      </c>
      <c r="BK50" s="2"/>
      <c r="BL50" s="2"/>
      <c r="BM50" s="2">
        <v>62001</v>
      </c>
      <c r="BN50" s="2">
        <v>0</v>
      </c>
      <c r="BO50" s="2" t="s">
        <v>6</v>
      </c>
      <c r="BP50" s="2">
        <v>0</v>
      </c>
      <c r="BQ50" s="2">
        <v>6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80</v>
      </c>
      <c r="CA50" s="2">
        <v>50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34"/>
        <v>199.48000000000002</v>
      </c>
      <c r="CQ50" s="2">
        <f t="shared" si="35"/>
        <v>496.22</v>
      </c>
      <c r="CR50" s="2">
        <f t="shared" si="36"/>
        <v>7.07</v>
      </c>
      <c r="CS50" s="2">
        <f t="shared" si="37"/>
        <v>2.0499999999999998</v>
      </c>
      <c r="CT50" s="2">
        <f t="shared" si="38"/>
        <v>255.74</v>
      </c>
      <c r="CU50" s="2">
        <f t="shared" si="39"/>
        <v>0</v>
      </c>
      <c r="CV50" s="2">
        <f t="shared" si="40"/>
        <v>29.6</v>
      </c>
      <c r="CW50" s="2">
        <f t="shared" si="41"/>
        <v>0.16</v>
      </c>
      <c r="CX50" s="2">
        <f t="shared" si="42"/>
        <v>0</v>
      </c>
      <c r="CY50" s="2">
        <f t="shared" si="43"/>
        <v>54.2</v>
      </c>
      <c r="CZ50" s="2">
        <f t="shared" si="44"/>
        <v>33.875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16</v>
      </c>
      <c r="DW50" s="2" t="s">
        <v>16</v>
      </c>
      <c r="DX50" s="2">
        <v>100</v>
      </c>
      <c r="DY50" s="2"/>
      <c r="DZ50" s="2"/>
      <c r="EA50" s="2"/>
      <c r="EB50" s="2"/>
      <c r="EC50" s="2"/>
      <c r="ED50" s="2"/>
      <c r="EE50" s="2">
        <v>15139184</v>
      </c>
      <c r="EF50" s="2">
        <v>6</v>
      </c>
      <c r="EG50" s="2" t="s">
        <v>51</v>
      </c>
      <c r="EH50" s="2">
        <v>0</v>
      </c>
      <c r="EI50" s="2" t="s">
        <v>6</v>
      </c>
      <c r="EJ50" s="2">
        <v>1</v>
      </c>
      <c r="EK50" s="2">
        <v>62001</v>
      </c>
      <c r="EL50" s="2" t="s">
        <v>81</v>
      </c>
      <c r="EM50" s="2" t="s">
        <v>82</v>
      </c>
      <c r="EN50" s="2"/>
      <c r="EO50" s="2" t="s">
        <v>6</v>
      </c>
      <c r="EP50" s="2"/>
      <c r="EQ50" s="2">
        <v>0</v>
      </c>
      <c r="ER50" s="2">
        <v>759.03</v>
      </c>
      <c r="ES50" s="2">
        <v>496.22</v>
      </c>
      <c r="ET50" s="2">
        <v>7.07</v>
      </c>
      <c r="EU50" s="2">
        <v>2.0499999999999998</v>
      </c>
      <c r="EV50" s="2">
        <v>255.74</v>
      </c>
      <c r="EW50" s="2">
        <v>29.6</v>
      </c>
      <c r="EX50" s="2">
        <v>0.16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5"/>
        <v>0</v>
      </c>
      <c r="FS50" s="2">
        <v>0</v>
      </c>
      <c r="FT50" s="2"/>
      <c r="FU50" s="2"/>
      <c r="FV50" s="2"/>
      <c r="FW50" s="2"/>
      <c r="FX50" s="2">
        <v>80</v>
      </c>
      <c r="FY50" s="2">
        <v>50</v>
      </c>
      <c r="FZ50" s="2"/>
      <c r="GA50" s="2" t="s">
        <v>6</v>
      </c>
      <c r="GB50" s="2"/>
      <c r="GC50" s="2"/>
      <c r="GD50" s="2">
        <v>0</v>
      </c>
      <c r="GE50" s="2"/>
      <c r="GF50" s="2">
        <v>-1358915023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6"/>
        <v>0</v>
      </c>
      <c r="GM50" s="2">
        <f t="shared" si="47"/>
        <v>287.56</v>
      </c>
      <c r="GN50" s="2">
        <f t="shared" si="48"/>
        <v>287.56</v>
      </c>
      <c r="GO50" s="2">
        <f t="shared" si="49"/>
        <v>0</v>
      </c>
      <c r="GP50" s="2">
        <f t="shared" si="50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51"/>
        <v>0</v>
      </c>
      <c r="GW50" s="2">
        <v>1</v>
      </c>
      <c r="GX50" s="2">
        <f t="shared" si="52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ROW(SmtRes!A102)</f>
        <v>102</v>
      </c>
      <c r="D51">
        <f>ROW(EtalonRes!A94)</f>
        <v>94</v>
      </c>
      <c r="E51" t="s">
        <v>77</v>
      </c>
      <c r="F51" t="s">
        <v>78</v>
      </c>
      <c r="G51" t="s">
        <v>79</v>
      </c>
      <c r="H51" t="s">
        <v>16</v>
      </c>
      <c r="I51">
        <f>ROUND(26.28/100,9)</f>
        <v>0.26279999999999998</v>
      </c>
      <c r="J51">
        <v>0</v>
      </c>
      <c r="O51">
        <f t="shared" si="14"/>
        <v>1194.8499999999999</v>
      </c>
      <c r="P51">
        <f t="shared" si="15"/>
        <v>781.14</v>
      </c>
      <c r="Q51">
        <f t="shared" si="16"/>
        <v>11.13</v>
      </c>
      <c r="R51">
        <f t="shared" si="17"/>
        <v>3.23</v>
      </c>
      <c r="S51">
        <f t="shared" si="18"/>
        <v>402.58</v>
      </c>
      <c r="T51">
        <f t="shared" si="19"/>
        <v>0</v>
      </c>
      <c r="U51">
        <f t="shared" si="20"/>
        <v>7.77888</v>
      </c>
      <c r="V51">
        <f t="shared" si="21"/>
        <v>4.2047999999999995E-2</v>
      </c>
      <c r="W51">
        <f t="shared" si="22"/>
        <v>0</v>
      </c>
      <c r="X51">
        <f t="shared" si="23"/>
        <v>324.64999999999998</v>
      </c>
      <c r="Y51">
        <f t="shared" si="24"/>
        <v>202.91</v>
      </c>
      <c r="AA51">
        <v>16481627</v>
      </c>
      <c r="AB51">
        <f t="shared" si="25"/>
        <v>759.03</v>
      </c>
      <c r="AC51">
        <f t="shared" si="26"/>
        <v>496.22</v>
      </c>
      <c r="AD51">
        <f t="shared" si="27"/>
        <v>7.07</v>
      </c>
      <c r="AE51">
        <f t="shared" si="28"/>
        <v>2.0499999999999998</v>
      </c>
      <c r="AF51">
        <f t="shared" si="29"/>
        <v>255.74</v>
      </c>
      <c r="AG51">
        <f t="shared" si="30"/>
        <v>0</v>
      </c>
      <c r="AH51">
        <f t="shared" si="31"/>
        <v>29.6</v>
      </c>
      <c r="AI51">
        <f t="shared" si="32"/>
        <v>0.16</v>
      </c>
      <c r="AJ51">
        <f t="shared" si="33"/>
        <v>0</v>
      </c>
      <c r="AK51">
        <v>759.03</v>
      </c>
      <c r="AL51">
        <v>496.22</v>
      </c>
      <c r="AM51">
        <v>7.07</v>
      </c>
      <c r="AN51">
        <v>2.0499999999999998</v>
      </c>
      <c r="AO51">
        <v>255.74</v>
      </c>
      <c r="AP51">
        <v>0</v>
      </c>
      <c r="AQ51">
        <v>29.6</v>
      </c>
      <c r="AR51">
        <v>0.16</v>
      </c>
      <c r="AS51">
        <v>0</v>
      </c>
      <c r="AT51">
        <v>80</v>
      </c>
      <c r="AU51">
        <v>50</v>
      </c>
      <c r="AV51">
        <v>1</v>
      </c>
      <c r="AW51">
        <v>1</v>
      </c>
      <c r="AZ51">
        <v>5.99</v>
      </c>
      <c r="BA51">
        <v>5.99</v>
      </c>
      <c r="BB51">
        <v>5.99</v>
      </c>
      <c r="BC51">
        <v>5.99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1</v>
      </c>
      <c r="BJ51" t="s">
        <v>80</v>
      </c>
      <c r="BM51">
        <v>62001</v>
      </c>
      <c r="BN51">
        <v>0</v>
      </c>
      <c r="BO51" t="s">
        <v>6</v>
      </c>
      <c r="BP51">
        <v>0</v>
      </c>
      <c r="BQ51">
        <v>6</v>
      </c>
      <c r="BR51">
        <v>0</v>
      </c>
      <c r="BS51">
        <v>5.99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80</v>
      </c>
      <c r="CA51">
        <v>50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4"/>
        <v>1194.8499999999999</v>
      </c>
      <c r="CQ51">
        <f t="shared" si="35"/>
        <v>2972.3578000000002</v>
      </c>
      <c r="CR51">
        <f t="shared" si="36"/>
        <v>42.349300000000007</v>
      </c>
      <c r="CS51">
        <f t="shared" si="37"/>
        <v>12.279499999999999</v>
      </c>
      <c r="CT51">
        <f t="shared" si="38"/>
        <v>1531.8826000000001</v>
      </c>
      <c r="CU51">
        <f t="shared" si="39"/>
        <v>0</v>
      </c>
      <c r="CV51">
        <f t="shared" si="40"/>
        <v>29.6</v>
      </c>
      <c r="CW51">
        <f t="shared" si="41"/>
        <v>0.16</v>
      </c>
      <c r="CX51">
        <f t="shared" si="42"/>
        <v>0</v>
      </c>
      <c r="CY51">
        <f t="shared" si="43"/>
        <v>324.64799999999997</v>
      </c>
      <c r="CZ51">
        <f t="shared" si="44"/>
        <v>202.905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16</v>
      </c>
      <c r="DW51" t="s">
        <v>16</v>
      </c>
      <c r="DX51">
        <v>100</v>
      </c>
      <c r="EE51">
        <v>15139184</v>
      </c>
      <c r="EF51">
        <v>6</v>
      </c>
      <c r="EG51" t="s">
        <v>51</v>
      </c>
      <c r="EH51">
        <v>0</v>
      </c>
      <c r="EI51" t="s">
        <v>6</v>
      </c>
      <c r="EJ51">
        <v>1</v>
      </c>
      <c r="EK51">
        <v>62001</v>
      </c>
      <c r="EL51" t="s">
        <v>81</v>
      </c>
      <c r="EM51" t="s">
        <v>82</v>
      </c>
      <c r="EO51" t="s">
        <v>6</v>
      </c>
      <c r="EQ51">
        <v>0</v>
      </c>
      <c r="ER51">
        <v>759.03</v>
      </c>
      <c r="ES51">
        <v>496.22</v>
      </c>
      <c r="ET51">
        <v>7.07</v>
      </c>
      <c r="EU51">
        <v>2.0499999999999998</v>
      </c>
      <c r="EV51">
        <v>255.74</v>
      </c>
      <c r="EW51">
        <v>29.6</v>
      </c>
      <c r="EX51">
        <v>0.16</v>
      </c>
      <c r="EY51">
        <v>0</v>
      </c>
      <c r="FQ51">
        <v>0</v>
      </c>
      <c r="FR51">
        <f t="shared" si="45"/>
        <v>0</v>
      </c>
      <c r="FS51">
        <v>0</v>
      </c>
      <c r="FX51">
        <v>80</v>
      </c>
      <c r="FY51">
        <v>50</v>
      </c>
      <c r="GA51" t="s">
        <v>6</v>
      </c>
      <c r="GD51">
        <v>0</v>
      </c>
      <c r="GF51">
        <v>-1358915023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6"/>
        <v>0</v>
      </c>
      <c r="GM51">
        <f t="shared" si="47"/>
        <v>1722.41</v>
      </c>
      <c r="GN51">
        <f t="shared" si="48"/>
        <v>1722.41</v>
      </c>
      <c r="GO51">
        <f t="shared" si="49"/>
        <v>0</v>
      </c>
      <c r="GP51">
        <f t="shared" si="50"/>
        <v>0</v>
      </c>
      <c r="GR51">
        <v>0</v>
      </c>
      <c r="GS51">
        <v>3</v>
      </c>
      <c r="GT51">
        <v>0</v>
      </c>
      <c r="GU51" t="s">
        <v>6</v>
      </c>
      <c r="GV51">
        <f t="shared" si="51"/>
        <v>0</v>
      </c>
      <c r="GW51">
        <v>1</v>
      </c>
      <c r="GX51">
        <f t="shared" si="52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87</v>
      </c>
      <c r="D52" s="2"/>
      <c r="E52" s="2" t="s">
        <v>83</v>
      </c>
      <c r="F52" s="2" t="s">
        <v>84</v>
      </c>
      <c r="G52" s="2" t="s">
        <v>85</v>
      </c>
      <c r="H52" s="2" t="s">
        <v>57</v>
      </c>
      <c r="I52" s="2">
        <f>I50*J52</f>
        <v>1.8659000000000002E-2</v>
      </c>
      <c r="J52" s="2">
        <v>7.1000761035007617E-2</v>
      </c>
      <c r="K52" s="2"/>
      <c r="L52" s="2"/>
      <c r="M52" s="2"/>
      <c r="N52" s="2"/>
      <c r="O52" s="2">
        <f t="shared" si="14"/>
        <v>0</v>
      </c>
      <c r="P52" s="2">
        <f t="shared" si="15"/>
        <v>0</v>
      </c>
      <c r="Q52" s="2">
        <f t="shared" si="16"/>
        <v>0</v>
      </c>
      <c r="R52" s="2">
        <f t="shared" si="17"/>
        <v>0</v>
      </c>
      <c r="S52" s="2">
        <f t="shared" si="18"/>
        <v>0</v>
      </c>
      <c r="T52" s="2">
        <f t="shared" si="19"/>
        <v>0</v>
      </c>
      <c r="U52" s="2">
        <f t="shared" si="20"/>
        <v>0</v>
      </c>
      <c r="V52" s="2">
        <f t="shared" si="21"/>
        <v>0</v>
      </c>
      <c r="W52" s="2">
        <f t="shared" si="22"/>
        <v>0</v>
      </c>
      <c r="X52" s="2">
        <f t="shared" si="23"/>
        <v>0</v>
      </c>
      <c r="Y52" s="2">
        <f t="shared" si="24"/>
        <v>0</v>
      </c>
      <c r="Z52" s="2"/>
      <c r="AA52" s="2">
        <v>16481626</v>
      </c>
      <c r="AB52" s="2">
        <f t="shared" si="25"/>
        <v>0</v>
      </c>
      <c r="AC52" s="2">
        <f t="shared" si="26"/>
        <v>0</v>
      </c>
      <c r="AD52" s="2">
        <f t="shared" si="27"/>
        <v>0</v>
      </c>
      <c r="AE52" s="2">
        <f t="shared" si="28"/>
        <v>0</v>
      </c>
      <c r="AF52" s="2">
        <f t="shared" si="29"/>
        <v>0</v>
      </c>
      <c r="AG52" s="2">
        <f t="shared" si="30"/>
        <v>0</v>
      </c>
      <c r="AH52" s="2">
        <f t="shared" si="31"/>
        <v>0</v>
      </c>
      <c r="AI52" s="2">
        <f t="shared" si="32"/>
        <v>0</v>
      </c>
      <c r="AJ52" s="2">
        <f t="shared" si="33"/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80</v>
      </c>
      <c r="AU52" s="2">
        <v>50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1</v>
      </c>
      <c r="BJ52" s="2" t="s">
        <v>6</v>
      </c>
      <c r="BK52" s="2"/>
      <c r="BL52" s="2"/>
      <c r="BM52" s="2">
        <v>62001</v>
      </c>
      <c r="BN52" s="2">
        <v>0</v>
      </c>
      <c r="BO52" s="2" t="s">
        <v>6</v>
      </c>
      <c r="BP52" s="2">
        <v>0</v>
      </c>
      <c r="BQ52" s="2">
        <v>6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80</v>
      </c>
      <c r="CA52" s="2">
        <v>50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34"/>
        <v>0</v>
      </c>
      <c r="CQ52" s="2">
        <f t="shared" si="35"/>
        <v>0</v>
      </c>
      <c r="CR52" s="2">
        <f t="shared" si="36"/>
        <v>0</v>
      </c>
      <c r="CS52" s="2">
        <f t="shared" si="37"/>
        <v>0</v>
      </c>
      <c r="CT52" s="2">
        <f t="shared" si="38"/>
        <v>0</v>
      </c>
      <c r="CU52" s="2">
        <f t="shared" si="39"/>
        <v>0</v>
      </c>
      <c r="CV52" s="2">
        <f t="shared" si="40"/>
        <v>0</v>
      </c>
      <c r="CW52" s="2">
        <f t="shared" si="41"/>
        <v>0</v>
      </c>
      <c r="CX52" s="2">
        <f t="shared" si="42"/>
        <v>0</v>
      </c>
      <c r="CY52" s="2">
        <f t="shared" si="43"/>
        <v>0</v>
      </c>
      <c r="CZ52" s="2">
        <f t="shared" si="44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1009</v>
      </c>
      <c r="DV52" s="2" t="s">
        <v>57</v>
      </c>
      <c r="DW52" s="2" t="s">
        <v>57</v>
      </c>
      <c r="DX52" s="2">
        <v>1000</v>
      </c>
      <c r="DY52" s="2"/>
      <c r="DZ52" s="2"/>
      <c r="EA52" s="2"/>
      <c r="EB52" s="2"/>
      <c r="EC52" s="2"/>
      <c r="ED52" s="2"/>
      <c r="EE52" s="2">
        <v>15139184</v>
      </c>
      <c r="EF52" s="2">
        <v>6</v>
      </c>
      <c r="EG52" s="2" t="s">
        <v>51</v>
      </c>
      <c r="EH52" s="2">
        <v>0</v>
      </c>
      <c r="EI52" s="2" t="s">
        <v>6</v>
      </c>
      <c r="EJ52" s="2">
        <v>1</v>
      </c>
      <c r="EK52" s="2">
        <v>62001</v>
      </c>
      <c r="EL52" s="2" t="s">
        <v>81</v>
      </c>
      <c r="EM52" s="2" t="s">
        <v>82</v>
      </c>
      <c r="EN52" s="2"/>
      <c r="EO52" s="2" t="s">
        <v>6</v>
      </c>
      <c r="EP52" s="2"/>
      <c r="EQ52" s="2">
        <v>0</v>
      </c>
      <c r="ER52" s="2">
        <v>0</v>
      </c>
      <c r="ES52" s="2">
        <v>0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5"/>
        <v>0</v>
      </c>
      <c r="FS52" s="2">
        <v>0</v>
      </c>
      <c r="FT52" s="2"/>
      <c r="FU52" s="2"/>
      <c r="FV52" s="2"/>
      <c r="FW52" s="2"/>
      <c r="FX52" s="2">
        <v>80</v>
      </c>
      <c r="FY52" s="2">
        <v>50</v>
      </c>
      <c r="FZ52" s="2"/>
      <c r="GA52" s="2" t="s">
        <v>6</v>
      </c>
      <c r="GB52" s="2"/>
      <c r="GC52" s="2"/>
      <c r="GD52" s="2">
        <v>0</v>
      </c>
      <c r="GE52" s="2"/>
      <c r="GF52" s="2">
        <v>1891904026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6"/>
        <v>0</v>
      </c>
      <c r="GM52" s="2">
        <f t="shared" si="47"/>
        <v>0</v>
      </c>
      <c r="GN52" s="2">
        <f t="shared" si="48"/>
        <v>0</v>
      </c>
      <c r="GO52" s="2">
        <f t="shared" si="49"/>
        <v>0</v>
      </c>
      <c r="GP52" s="2">
        <f t="shared" si="50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51"/>
        <v>0</v>
      </c>
      <c r="GW52" s="2">
        <v>1</v>
      </c>
      <c r="GX52" s="2">
        <f t="shared" si="52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100</v>
      </c>
      <c r="E53" t="s">
        <v>83</v>
      </c>
      <c r="F53" t="s">
        <v>84</v>
      </c>
      <c r="G53" t="s">
        <v>85</v>
      </c>
      <c r="H53" t="s">
        <v>57</v>
      </c>
      <c r="I53">
        <f>I51*J53</f>
        <v>1.8659000000000002E-2</v>
      </c>
      <c r="J53">
        <v>7.1000761035007617E-2</v>
      </c>
      <c r="O53">
        <f t="shared" si="14"/>
        <v>0</v>
      </c>
      <c r="P53">
        <f t="shared" si="15"/>
        <v>0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16481627</v>
      </c>
      <c r="AB53">
        <f t="shared" si="25"/>
        <v>0</v>
      </c>
      <c r="AC53">
        <f t="shared" si="26"/>
        <v>0</v>
      </c>
      <c r="AD53">
        <f t="shared" si="27"/>
        <v>0</v>
      </c>
      <c r="AE53">
        <f t="shared" si="28"/>
        <v>0</v>
      </c>
      <c r="AF53">
        <f t="shared" si="29"/>
        <v>0</v>
      </c>
      <c r="AG53">
        <f t="shared" si="30"/>
        <v>0</v>
      </c>
      <c r="AH53">
        <f t="shared" si="31"/>
        <v>0</v>
      </c>
      <c r="AI53">
        <f t="shared" si="32"/>
        <v>0</v>
      </c>
      <c r="AJ53">
        <f t="shared" si="33"/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80</v>
      </c>
      <c r="AU53">
        <v>50</v>
      </c>
      <c r="AV53">
        <v>1</v>
      </c>
      <c r="AW53">
        <v>1</v>
      </c>
      <c r="AZ53">
        <v>5.99</v>
      </c>
      <c r="BA53">
        <v>1</v>
      </c>
      <c r="BB53">
        <v>1</v>
      </c>
      <c r="BC53">
        <v>5.99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6</v>
      </c>
      <c r="BM53">
        <v>62001</v>
      </c>
      <c r="BN53">
        <v>0</v>
      </c>
      <c r="BO53" t="s">
        <v>6</v>
      </c>
      <c r="BP53">
        <v>0</v>
      </c>
      <c r="BQ53">
        <v>6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80</v>
      </c>
      <c r="CA53">
        <v>50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4"/>
        <v>0</v>
      </c>
      <c r="CQ53">
        <f t="shared" si="35"/>
        <v>0</v>
      </c>
      <c r="CR53">
        <f t="shared" si="36"/>
        <v>0</v>
      </c>
      <c r="CS53">
        <f t="shared" si="37"/>
        <v>0</v>
      </c>
      <c r="CT53">
        <f t="shared" si="38"/>
        <v>0</v>
      </c>
      <c r="CU53">
        <f t="shared" si="39"/>
        <v>0</v>
      </c>
      <c r="CV53">
        <f t="shared" si="40"/>
        <v>0</v>
      </c>
      <c r="CW53">
        <f t="shared" si="41"/>
        <v>0</v>
      </c>
      <c r="CX53">
        <f t="shared" si="42"/>
        <v>0</v>
      </c>
      <c r="CY53">
        <f t="shared" si="43"/>
        <v>0</v>
      </c>
      <c r="CZ53">
        <f t="shared" si="44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57</v>
      </c>
      <c r="DW53" t="s">
        <v>57</v>
      </c>
      <c r="DX53">
        <v>1000</v>
      </c>
      <c r="EE53">
        <v>15139184</v>
      </c>
      <c r="EF53">
        <v>6</v>
      </c>
      <c r="EG53" t="s">
        <v>51</v>
      </c>
      <c r="EH53">
        <v>0</v>
      </c>
      <c r="EI53" t="s">
        <v>6</v>
      </c>
      <c r="EJ53">
        <v>1</v>
      </c>
      <c r="EK53">
        <v>62001</v>
      </c>
      <c r="EL53" t="s">
        <v>81</v>
      </c>
      <c r="EM53" t="s">
        <v>82</v>
      </c>
      <c r="EO53" t="s">
        <v>6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5"/>
        <v>0</v>
      </c>
      <c r="FS53">
        <v>0</v>
      </c>
      <c r="FX53">
        <v>80</v>
      </c>
      <c r="FY53">
        <v>50</v>
      </c>
      <c r="GA53" t="s">
        <v>6</v>
      </c>
      <c r="GD53">
        <v>0</v>
      </c>
      <c r="GF53">
        <v>1891904026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6"/>
        <v>0</v>
      </c>
      <c r="GM53">
        <f t="shared" si="47"/>
        <v>0</v>
      </c>
      <c r="GN53">
        <f t="shared" si="48"/>
        <v>0</v>
      </c>
      <c r="GO53">
        <f t="shared" si="49"/>
        <v>0</v>
      </c>
      <c r="GP53">
        <f t="shared" si="50"/>
        <v>0</v>
      </c>
      <c r="GR53">
        <v>0</v>
      </c>
      <c r="GS53">
        <v>3</v>
      </c>
      <c r="GT53">
        <v>0</v>
      </c>
      <c r="GU53" t="s">
        <v>6</v>
      </c>
      <c r="GV53">
        <f t="shared" si="51"/>
        <v>0</v>
      </c>
      <c r="GW53">
        <v>1</v>
      </c>
      <c r="GX53">
        <f t="shared" si="52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88</v>
      </c>
      <c r="D54" s="2"/>
      <c r="E54" s="2" t="s">
        <v>86</v>
      </c>
      <c r="F54" s="2" t="s">
        <v>87</v>
      </c>
      <c r="G54" s="2" t="s">
        <v>88</v>
      </c>
      <c r="H54" s="2" t="s">
        <v>57</v>
      </c>
      <c r="I54" s="2">
        <f>I50*J54</f>
        <v>1.866E-2</v>
      </c>
      <c r="J54" s="2">
        <v>7.1004566210045666E-2</v>
      </c>
      <c r="K54" s="2"/>
      <c r="L54" s="2"/>
      <c r="M54" s="2"/>
      <c r="N54" s="2"/>
      <c r="O54" s="2">
        <f t="shared" si="14"/>
        <v>372.71</v>
      </c>
      <c r="P54" s="2">
        <f t="shared" si="15"/>
        <v>372.71</v>
      </c>
      <c r="Q54" s="2">
        <f t="shared" si="16"/>
        <v>0</v>
      </c>
      <c r="R54" s="2">
        <f t="shared" si="17"/>
        <v>0</v>
      </c>
      <c r="S54" s="2">
        <f t="shared" si="18"/>
        <v>0</v>
      </c>
      <c r="T54" s="2">
        <f t="shared" si="19"/>
        <v>0</v>
      </c>
      <c r="U54" s="2">
        <f t="shared" si="20"/>
        <v>0</v>
      </c>
      <c r="V54" s="2">
        <f t="shared" si="21"/>
        <v>0</v>
      </c>
      <c r="W54" s="2">
        <f t="shared" si="22"/>
        <v>0</v>
      </c>
      <c r="X54" s="2">
        <f t="shared" si="23"/>
        <v>0</v>
      </c>
      <c r="Y54" s="2">
        <f t="shared" si="24"/>
        <v>0</v>
      </c>
      <c r="Z54" s="2"/>
      <c r="AA54" s="2">
        <v>16481626</v>
      </c>
      <c r="AB54" s="2">
        <f t="shared" si="25"/>
        <v>19973.669999999998</v>
      </c>
      <c r="AC54" s="2">
        <f t="shared" si="26"/>
        <v>19973.669999999998</v>
      </c>
      <c r="AD54" s="2">
        <f t="shared" si="27"/>
        <v>0</v>
      </c>
      <c r="AE54" s="2">
        <f t="shared" si="28"/>
        <v>0</v>
      </c>
      <c r="AF54" s="2">
        <f t="shared" si="29"/>
        <v>0</v>
      </c>
      <c r="AG54" s="2">
        <f t="shared" si="30"/>
        <v>0</v>
      </c>
      <c r="AH54" s="2">
        <f t="shared" si="31"/>
        <v>0</v>
      </c>
      <c r="AI54" s="2">
        <f t="shared" si="32"/>
        <v>0</v>
      </c>
      <c r="AJ54" s="2">
        <f t="shared" si="33"/>
        <v>0</v>
      </c>
      <c r="AK54" s="2">
        <v>19973.669999999998</v>
      </c>
      <c r="AL54" s="2">
        <v>19973.669999999998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80</v>
      </c>
      <c r="AU54" s="2">
        <v>50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3</v>
      </c>
      <c r="BI54" s="2">
        <v>1</v>
      </c>
      <c r="BJ54" s="2" t="s">
        <v>89</v>
      </c>
      <c r="BK54" s="2"/>
      <c r="BL54" s="2"/>
      <c r="BM54" s="2">
        <v>62001</v>
      </c>
      <c r="BN54" s="2">
        <v>0</v>
      </c>
      <c r="BO54" s="2" t="s">
        <v>6</v>
      </c>
      <c r="BP54" s="2">
        <v>0</v>
      </c>
      <c r="BQ54" s="2">
        <v>6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80</v>
      </c>
      <c r="CA54" s="2">
        <v>50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34"/>
        <v>372.71</v>
      </c>
      <c r="CQ54" s="2">
        <f t="shared" si="35"/>
        <v>19973.669999999998</v>
      </c>
      <c r="CR54" s="2">
        <f t="shared" si="36"/>
        <v>0</v>
      </c>
      <c r="CS54" s="2">
        <f t="shared" si="37"/>
        <v>0</v>
      </c>
      <c r="CT54" s="2">
        <f t="shared" si="38"/>
        <v>0</v>
      </c>
      <c r="CU54" s="2">
        <f t="shared" si="39"/>
        <v>0</v>
      </c>
      <c r="CV54" s="2">
        <f t="shared" si="40"/>
        <v>0</v>
      </c>
      <c r="CW54" s="2">
        <f t="shared" si="41"/>
        <v>0</v>
      </c>
      <c r="CX54" s="2">
        <f t="shared" si="42"/>
        <v>0</v>
      </c>
      <c r="CY54" s="2">
        <f t="shared" si="43"/>
        <v>0</v>
      </c>
      <c r="CZ54" s="2">
        <f t="shared" si="44"/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1009</v>
      </c>
      <c r="DV54" s="2" t="s">
        <v>57</v>
      </c>
      <c r="DW54" s="2" t="s">
        <v>57</v>
      </c>
      <c r="DX54" s="2">
        <v>1000</v>
      </c>
      <c r="DY54" s="2"/>
      <c r="DZ54" s="2"/>
      <c r="EA54" s="2"/>
      <c r="EB54" s="2"/>
      <c r="EC54" s="2"/>
      <c r="ED54" s="2"/>
      <c r="EE54" s="2">
        <v>15139184</v>
      </c>
      <c r="EF54" s="2">
        <v>6</v>
      </c>
      <c r="EG54" s="2" t="s">
        <v>51</v>
      </c>
      <c r="EH54" s="2">
        <v>0</v>
      </c>
      <c r="EI54" s="2" t="s">
        <v>6</v>
      </c>
      <c r="EJ54" s="2">
        <v>1</v>
      </c>
      <c r="EK54" s="2">
        <v>62001</v>
      </c>
      <c r="EL54" s="2" t="s">
        <v>81</v>
      </c>
      <c r="EM54" s="2" t="s">
        <v>82</v>
      </c>
      <c r="EN54" s="2"/>
      <c r="EO54" s="2" t="s">
        <v>6</v>
      </c>
      <c r="EP54" s="2"/>
      <c r="EQ54" s="2">
        <v>0</v>
      </c>
      <c r="ER54" s="2">
        <v>19973.669999999998</v>
      </c>
      <c r="ES54" s="2">
        <v>19973.669999999998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5"/>
        <v>0</v>
      </c>
      <c r="FS54" s="2">
        <v>0</v>
      </c>
      <c r="FT54" s="2"/>
      <c r="FU54" s="2"/>
      <c r="FV54" s="2"/>
      <c r="FW54" s="2"/>
      <c r="FX54" s="2">
        <v>80</v>
      </c>
      <c r="FY54" s="2">
        <v>50</v>
      </c>
      <c r="FZ54" s="2"/>
      <c r="GA54" s="2" t="s">
        <v>6</v>
      </c>
      <c r="GB54" s="2"/>
      <c r="GC54" s="2"/>
      <c r="GD54" s="2">
        <v>0</v>
      </c>
      <c r="GE54" s="2"/>
      <c r="GF54" s="2">
        <v>772632804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6"/>
        <v>0</v>
      </c>
      <c r="GM54" s="2">
        <f t="shared" si="47"/>
        <v>372.71</v>
      </c>
      <c r="GN54" s="2">
        <f t="shared" si="48"/>
        <v>372.71</v>
      </c>
      <c r="GO54" s="2">
        <f t="shared" si="49"/>
        <v>0</v>
      </c>
      <c r="GP54" s="2">
        <f t="shared" si="50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51"/>
        <v>0</v>
      </c>
      <c r="GW54" s="2">
        <v>1</v>
      </c>
      <c r="GX54" s="2">
        <f t="shared" si="52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101</v>
      </c>
      <c r="E55" t="s">
        <v>86</v>
      </c>
      <c r="F55" t="s">
        <v>87</v>
      </c>
      <c r="G55" t="s">
        <v>88</v>
      </c>
      <c r="H55" t="s">
        <v>57</v>
      </c>
      <c r="I55">
        <f>I51*J55</f>
        <v>1.866E-2</v>
      </c>
      <c r="J55">
        <v>7.1004566210045666E-2</v>
      </c>
      <c r="O55">
        <f t="shared" si="14"/>
        <v>2232.5300000000002</v>
      </c>
      <c r="P55">
        <f t="shared" si="15"/>
        <v>2232.5300000000002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16481627</v>
      </c>
      <c r="AB55">
        <f t="shared" si="25"/>
        <v>19973.669999999998</v>
      </c>
      <c r="AC55">
        <f t="shared" si="26"/>
        <v>19973.669999999998</v>
      </c>
      <c r="AD55">
        <f t="shared" si="27"/>
        <v>0</v>
      </c>
      <c r="AE55">
        <f t="shared" si="28"/>
        <v>0</v>
      </c>
      <c r="AF55">
        <f t="shared" si="29"/>
        <v>0</v>
      </c>
      <c r="AG55">
        <f t="shared" si="30"/>
        <v>0</v>
      </c>
      <c r="AH55">
        <f t="shared" si="31"/>
        <v>0</v>
      </c>
      <c r="AI55">
        <f t="shared" si="32"/>
        <v>0</v>
      </c>
      <c r="AJ55">
        <f t="shared" si="33"/>
        <v>0</v>
      </c>
      <c r="AK55">
        <v>19973.669999999998</v>
      </c>
      <c r="AL55">
        <v>19973.669999999998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80</v>
      </c>
      <c r="AU55">
        <v>50</v>
      </c>
      <c r="AV55">
        <v>1</v>
      </c>
      <c r="AW55">
        <v>1</v>
      </c>
      <c r="AZ55">
        <v>5.99</v>
      </c>
      <c r="BA55">
        <v>1</v>
      </c>
      <c r="BB55">
        <v>1</v>
      </c>
      <c r="BC55">
        <v>5.99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89</v>
      </c>
      <c r="BM55">
        <v>62001</v>
      </c>
      <c r="BN55">
        <v>0</v>
      </c>
      <c r="BO55" t="s">
        <v>6</v>
      </c>
      <c r="BP55">
        <v>0</v>
      </c>
      <c r="BQ55">
        <v>6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80</v>
      </c>
      <c r="CA55">
        <v>50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34"/>
        <v>2232.5300000000002</v>
      </c>
      <c r="CQ55">
        <f t="shared" si="35"/>
        <v>119642.2833</v>
      </c>
      <c r="CR55">
        <f t="shared" si="36"/>
        <v>0</v>
      </c>
      <c r="CS55">
        <f t="shared" si="37"/>
        <v>0</v>
      </c>
      <c r="CT55">
        <f t="shared" si="38"/>
        <v>0</v>
      </c>
      <c r="CU55">
        <f t="shared" si="39"/>
        <v>0</v>
      </c>
      <c r="CV55">
        <f t="shared" si="40"/>
        <v>0</v>
      </c>
      <c r="CW55">
        <f t="shared" si="41"/>
        <v>0</v>
      </c>
      <c r="CX55">
        <f t="shared" si="42"/>
        <v>0</v>
      </c>
      <c r="CY55">
        <f t="shared" si="43"/>
        <v>0</v>
      </c>
      <c r="CZ55">
        <f t="shared" si="44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1009</v>
      </c>
      <c r="DV55" t="s">
        <v>57</v>
      </c>
      <c r="DW55" t="s">
        <v>57</v>
      </c>
      <c r="DX55">
        <v>1000</v>
      </c>
      <c r="EE55">
        <v>15139184</v>
      </c>
      <c r="EF55">
        <v>6</v>
      </c>
      <c r="EG55" t="s">
        <v>51</v>
      </c>
      <c r="EH55">
        <v>0</v>
      </c>
      <c r="EI55" t="s">
        <v>6</v>
      </c>
      <c r="EJ55">
        <v>1</v>
      </c>
      <c r="EK55">
        <v>62001</v>
      </c>
      <c r="EL55" t="s">
        <v>81</v>
      </c>
      <c r="EM55" t="s">
        <v>82</v>
      </c>
      <c r="EO55" t="s">
        <v>6</v>
      </c>
      <c r="EQ55">
        <v>0</v>
      </c>
      <c r="ER55">
        <v>19973.669999999998</v>
      </c>
      <c r="ES55">
        <v>19973.669999999998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5"/>
        <v>0</v>
      </c>
      <c r="FS55">
        <v>0</v>
      </c>
      <c r="FX55">
        <v>80</v>
      </c>
      <c r="FY55">
        <v>50</v>
      </c>
      <c r="GA55" t="s">
        <v>6</v>
      </c>
      <c r="GD55">
        <v>0</v>
      </c>
      <c r="GF55">
        <v>772632804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6"/>
        <v>0</v>
      </c>
      <c r="GM55">
        <f t="shared" si="47"/>
        <v>2232.5300000000002</v>
      </c>
      <c r="GN55">
        <f t="shared" si="48"/>
        <v>2232.5300000000002</v>
      </c>
      <c r="GO55">
        <f t="shared" si="49"/>
        <v>0</v>
      </c>
      <c r="GP55">
        <f t="shared" si="50"/>
        <v>0</v>
      </c>
      <c r="GR55">
        <v>0</v>
      </c>
      <c r="GS55">
        <v>3</v>
      </c>
      <c r="GT55">
        <v>0</v>
      </c>
      <c r="GU55" t="s">
        <v>6</v>
      </c>
      <c r="GV55">
        <f t="shared" si="51"/>
        <v>0</v>
      </c>
      <c r="GW55">
        <v>1</v>
      </c>
      <c r="GX55">
        <f t="shared" si="52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ROW(SmtRes!A107)</f>
        <v>107</v>
      </c>
      <c r="D56" s="2">
        <f>ROW(EtalonRes!A99)</f>
        <v>99</v>
      </c>
      <c r="E56" s="2" t="s">
        <v>90</v>
      </c>
      <c r="F56" s="2" t="s">
        <v>91</v>
      </c>
      <c r="G56" s="2" t="s">
        <v>92</v>
      </c>
      <c r="H56" s="2" t="s">
        <v>16</v>
      </c>
      <c r="I56" s="2">
        <f>ROUND(21.6/100,9)</f>
        <v>0.216</v>
      </c>
      <c r="J56" s="2">
        <v>0</v>
      </c>
      <c r="K56" s="2"/>
      <c r="L56" s="2"/>
      <c r="M56" s="2"/>
      <c r="N56" s="2"/>
      <c r="O56" s="2">
        <f t="shared" si="14"/>
        <v>601.94000000000005</v>
      </c>
      <c r="P56" s="2">
        <f t="shared" si="15"/>
        <v>246.29</v>
      </c>
      <c r="Q56" s="2">
        <f t="shared" si="16"/>
        <v>0.26</v>
      </c>
      <c r="R56" s="2">
        <f t="shared" si="17"/>
        <v>0</v>
      </c>
      <c r="S56" s="2">
        <f t="shared" si="18"/>
        <v>355.39</v>
      </c>
      <c r="T56" s="2">
        <f t="shared" si="19"/>
        <v>0</v>
      </c>
      <c r="U56" s="2">
        <f t="shared" si="20"/>
        <v>40.661999999999999</v>
      </c>
      <c r="V56" s="2">
        <f t="shared" si="21"/>
        <v>0</v>
      </c>
      <c r="W56" s="2">
        <f t="shared" si="22"/>
        <v>0</v>
      </c>
      <c r="X56" s="2">
        <f t="shared" si="23"/>
        <v>280.76</v>
      </c>
      <c r="Y56" s="2">
        <f t="shared" si="24"/>
        <v>177.7</v>
      </c>
      <c r="Z56" s="2"/>
      <c r="AA56" s="2">
        <v>16481626</v>
      </c>
      <c r="AB56" s="2">
        <f t="shared" si="25"/>
        <v>2786.77</v>
      </c>
      <c r="AC56" s="2">
        <f t="shared" si="26"/>
        <v>1140.25</v>
      </c>
      <c r="AD56" s="2">
        <f t="shared" si="27"/>
        <v>1.21</v>
      </c>
      <c r="AE56" s="2">
        <f t="shared" si="28"/>
        <v>0</v>
      </c>
      <c r="AF56" s="2">
        <f t="shared" si="29"/>
        <v>1645.31</v>
      </c>
      <c r="AG56" s="2">
        <f t="shared" si="30"/>
        <v>0</v>
      </c>
      <c r="AH56" s="2">
        <f t="shared" si="31"/>
        <v>188.25</v>
      </c>
      <c r="AI56" s="2">
        <f t="shared" si="32"/>
        <v>0</v>
      </c>
      <c r="AJ56" s="2">
        <f t="shared" si="33"/>
        <v>0</v>
      </c>
      <c r="AK56" s="2">
        <v>2786.77</v>
      </c>
      <c r="AL56" s="2">
        <v>1140.25</v>
      </c>
      <c r="AM56" s="2">
        <v>1.21</v>
      </c>
      <c r="AN56" s="2">
        <v>0</v>
      </c>
      <c r="AO56" s="2">
        <v>1645.31</v>
      </c>
      <c r="AP56" s="2">
        <v>0</v>
      </c>
      <c r="AQ56" s="2">
        <v>188.25</v>
      </c>
      <c r="AR56" s="2">
        <v>0</v>
      </c>
      <c r="AS56" s="2">
        <v>0</v>
      </c>
      <c r="AT56" s="2">
        <v>79</v>
      </c>
      <c r="AU56" s="2">
        <v>50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0</v>
      </c>
      <c r="BI56" s="2">
        <v>1</v>
      </c>
      <c r="BJ56" s="2" t="s">
        <v>93</v>
      </c>
      <c r="BK56" s="2"/>
      <c r="BL56" s="2"/>
      <c r="BM56" s="2">
        <v>61001</v>
      </c>
      <c r="BN56" s="2">
        <v>0</v>
      </c>
      <c r="BO56" s="2" t="s">
        <v>6</v>
      </c>
      <c r="BP56" s="2">
        <v>0</v>
      </c>
      <c r="BQ56" s="2">
        <v>6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79</v>
      </c>
      <c r="CA56" s="2">
        <v>50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si="34"/>
        <v>601.93999999999994</v>
      </c>
      <c r="CQ56" s="2">
        <f t="shared" si="35"/>
        <v>1140.25</v>
      </c>
      <c r="CR56" s="2">
        <f t="shared" si="36"/>
        <v>1.21</v>
      </c>
      <c r="CS56" s="2">
        <f t="shared" si="37"/>
        <v>0</v>
      </c>
      <c r="CT56" s="2">
        <f t="shared" si="38"/>
        <v>1645.31</v>
      </c>
      <c r="CU56" s="2">
        <f t="shared" si="39"/>
        <v>0</v>
      </c>
      <c r="CV56" s="2">
        <f t="shared" si="40"/>
        <v>188.25</v>
      </c>
      <c r="CW56" s="2">
        <f t="shared" si="41"/>
        <v>0</v>
      </c>
      <c r="CX56" s="2">
        <f t="shared" si="42"/>
        <v>0</v>
      </c>
      <c r="CY56" s="2">
        <f t="shared" si="43"/>
        <v>280.75809999999996</v>
      </c>
      <c r="CZ56" s="2">
        <f t="shared" si="44"/>
        <v>177.69499999999999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16</v>
      </c>
      <c r="DW56" s="2" t="s">
        <v>16</v>
      </c>
      <c r="DX56" s="2">
        <v>100</v>
      </c>
      <c r="DY56" s="2"/>
      <c r="DZ56" s="2"/>
      <c r="EA56" s="2"/>
      <c r="EB56" s="2"/>
      <c r="EC56" s="2"/>
      <c r="ED56" s="2"/>
      <c r="EE56" s="2">
        <v>15139183</v>
      </c>
      <c r="EF56" s="2">
        <v>6</v>
      </c>
      <c r="EG56" s="2" t="s">
        <v>51</v>
      </c>
      <c r="EH56" s="2">
        <v>0</v>
      </c>
      <c r="EI56" s="2" t="s">
        <v>6</v>
      </c>
      <c r="EJ56" s="2">
        <v>1</v>
      </c>
      <c r="EK56" s="2">
        <v>61001</v>
      </c>
      <c r="EL56" s="2" t="s">
        <v>74</v>
      </c>
      <c r="EM56" s="2" t="s">
        <v>75</v>
      </c>
      <c r="EN56" s="2"/>
      <c r="EO56" s="2" t="s">
        <v>6</v>
      </c>
      <c r="EP56" s="2"/>
      <c r="EQ56" s="2">
        <v>0</v>
      </c>
      <c r="ER56" s="2">
        <v>2786.77</v>
      </c>
      <c r="ES56" s="2">
        <v>1140.25</v>
      </c>
      <c r="ET56" s="2">
        <v>1.21</v>
      </c>
      <c r="EU56" s="2">
        <v>0</v>
      </c>
      <c r="EV56" s="2">
        <v>1645.31</v>
      </c>
      <c r="EW56" s="2">
        <v>188.25</v>
      </c>
      <c r="EX56" s="2">
        <v>0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5"/>
        <v>0</v>
      </c>
      <c r="FS56" s="2">
        <v>0</v>
      </c>
      <c r="FT56" s="2"/>
      <c r="FU56" s="2"/>
      <c r="FV56" s="2"/>
      <c r="FW56" s="2"/>
      <c r="FX56" s="2">
        <v>79</v>
      </c>
      <c r="FY56" s="2">
        <v>50</v>
      </c>
      <c r="FZ56" s="2"/>
      <c r="GA56" s="2" t="s">
        <v>6</v>
      </c>
      <c r="GB56" s="2"/>
      <c r="GC56" s="2"/>
      <c r="GD56" s="2">
        <v>0</v>
      </c>
      <c r="GE56" s="2"/>
      <c r="GF56" s="2">
        <v>1088305754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46"/>
        <v>0</v>
      </c>
      <c r="GM56" s="2">
        <f t="shared" si="47"/>
        <v>1060.4000000000001</v>
      </c>
      <c r="GN56" s="2">
        <f t="shared" si="48"/>
        <v>1060.4000000000001</v>
      </c>
      <c r="GO56" s="2">
        <f t="shared" si="49"/>
        <v>0</v>
      </c>
      <c r="GP56" s="2">
        <f t="shared" si="50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51"/>
        <v>0</v>
      </c>
      <c r="GW56" s="2">
        <v>1</v>
      </c>
      <c r="GX56" s="2">
        <f t="shared" si="52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ROW(SmtRes!A112)</f>
        <v>112</v>
      </c>
      <c r="D57">
        <f>ROW(EtalonRes!A104)</f>
        <v>104</v>
      </c>
      <c r="E57" t="s">
        <v>90</v>
      </c>
      <c r="F57" t="s">
        <v>91</v>
      </c>
      <c r="G57" t="s">
        <v>92</v>
      </c>
      <c r="H57" t="s">
        <v>16</v>
      </c>
      <c r="I57">
        <f>ROUND(21.6/100,9)</f>
        <v>0.216</v>
      </c>
      <c r="J57">
        <v>0</v>
      </c>
      <c r="O57">
        <f t="shared" si="14"/>
        <v>3605.64</v>
      </c>
      <c r="P57">
        <f t="shared" si="15"/>
        <v>1475.3</v>
      </c>
      <c r="Q57">
        <f t="shared" si="16"/>
        <v>1.57</v>
      </c>
      <c r="R57">
        <f t="shared" si="17"/>
        <v>0</v>
      </c>
      <c r="S57">
        <f t="shared" si="18"/>
        <v>2128.77</v>
      </c>
      <c r="T57">
        <f t="shared" si="19"/>
        <v>0</v>
      </c>
      <c r="U57">
        <f t="shared" si="20"/>
        <v>40.661999999999999</v>
      </c>
      <c r="V57">
        <f t="shared" si="21"/>
        <v>0</v>
      </c>
      <c r="W57">
        <f t="shared" si="22"/>
        <v>0</v>
      </c>
      <c r="X57">
        <f t="shared" si="23"/>
        <v>1681.73</v>
      </c>
      <c r="Y57">
        <f t="shared" si="24"/>
        <v>1064.3900000000001</v>
      </c>
      <c r="AA57">
        <v>16481627</v>
      </c>
      <c r="AB57">
        <f t="shared" si="25"/>
        <v>2786.77</v>
      </c>
      <c r="AC57">
        <f t="shared" si="26"/>
        <v>1140.25</v>
      </c>
      <c r="AD57">
        <f t="shared" si="27"/>
        <v>1.21</v>
      </c>
      <c r="AE57">
        <f t="shared" si="28"/>
        <v>0</v>
      </c>
      <c r="AF57">
        <f t="shared" si="29"/>
        <v>1645.31</v>
      </c>
      <c r="AG57">
        <f t="shared" si="30"/>
        <v>0</v>
      </c>
      <c r="AH57">
        <f t="shared" si="31"/>
        <v>188.25</v>
      </c>
      <c r="AI57">
        <f t="shared" si="32"/>
        <v>0</v>
      </c>
      <c r="AJ57">
        <f t="shared" si="33"/>
        <v>0</v>
      </c>
      <c r="AK57">
        <v>2786.77</v>
      </c>
      <c r="AL57">
        <v>1140.25</v>
      </c>
      <c r="AM57">
        <v>1.21</v>
      </c>
      <c r="AN57">
        <v>0</v>
      </c>
      <c r="AO57">
        <v>1645.31</v>
      </c>
      <c r="AP57">
        <v>0</v>
      </c>
      <c r="AQ57">
        <v>188.25</v>
      </c>
      <c r="AR57">
        <v>0</v>
      </c>
      <c r="AS57">
        <v>0</v>
      </c>
      <c r="AT57">
        <v>79</v>
      </c>
      <c r="AU57">
        <v>50</v>
      </c>
      <c r="AV57">
        <v>1</v>
      </c>
      <c r="AW57">
        <v>1</v>
      </c>
      <c r="AZ57">
        <v>5.99</v>
      </c>
      <c r="BA57">
        <v>5.99</v>
      </c>
      <c r="BB57">
        <v>5.99</v>
      </c>
      <c r="BC57">
        <v>5.99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93</v>
      </c>
      <c r="BM57">
        <v>61001</v>
      </c>
      <c r="BN57">
        <v>0</v>
      </c>
      <c r="BO57" t="s">
        <v>6</v>
      </c>
      <c r="BP57">
        <v>0</v>
      </c>
      <c r="BQ57">
        <v>6</v>
      </c>
      <c r="BR57">
        <v>0</v>
      </c>
      <c r="BS57">
        <v>5.99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79</v>
      </c>
      <c r="CA57">
        <v>50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34"/>
        <v>3605.64</v>
      </c>
      <c r="CQ57">
        <f t="shared" si="35"/>
        <v>6830.0974999999999</v>
      </c>
      <c r="CR57">
        <f t="shared" si="36"/>
        <v>7.2479000000000005</v>
      </c>
      <c r="CS57">
        <f t="shared" si="37"/>
        <v>0</v>
      </c>
      <c r="CT57">
        <f t="shared" si="38"/>
        <v>9855.4069</v>
      </c>
      <c r="CU57">
        <f t="shared" si="39"/>
        <v>0</v>
      </c>
      <c r="CV57">
        <f t="shared" si="40"/>
        <v>188.25</v>
      </c>
      <c r="CW57">
        <f t="shared" si="41"/>
        <v>0</v>
      </c>
      <c r="CX57">
        <f t="shared" si="42"/>
        <v>0</v>
      </c>
      <c r="CY57">
        <f t="shared" si="43"/>
        <v>1681.7282999999998</v>
      </c>
      <c r="CZ57">
        <f t="shared" si="44"/>
        <v>1064.385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16</v>
      </c>
      <c r="DW57" t="s">
        <v>16</v>
      </c>
      <c r="DX57">
        <v>100</v>
      </c>
      <c r="EE57">
        <v>15139183</v>
      </c>
      <c r="EF57">
        <v>6</v>
      </c>
      <c r="EG57" t="s">
        <v>51</v>
      </c>
      <c r="EH57">
        <v>0</v>
      </c>
      <c r="EI57" t="s">
        <v>6</v>
      </c>
      <c r="EJ57">
        <v>1</v>
      </c>
      <c r="EK57">
        <v>61001</v>
      </c>
      <c r="EL57" t="s">
        <v>74</v>
      </c>
      <c r="EM57" t="s">
        <v>75</v>
      </c>
      <c r="EO57" t="s">
        <v>6</v>
      </c>
      <c r="EQ57">
        <v>0</v>
      </c>
      <c r="ER57">
        <v>2786.77</v>
      </c>
      <c r="ES57">
        <v>1140.25</v>
      </c>
      <c r="ET57">
        <v>1.21</v>
      </c>
      <c r="EU57">
        <v>0</v>
      </c>
      <c r="EV57">
        <v>1645.31</v>
      </c>
      <c r="EW57">
        <v>188.25</v>
      </c>
      <c r="EX57">
        <v>0</v>
      </c>
      <c r="EY57">
        <v>0</v>
      </c>
      <c r="FQ57">
        <v>0</v>
      </c>
      <c r="FR57">
        <f t="shared" si="45"/>
        <v>0</v>
      </c>
      <c r="FS57">
        <v>0</v>
      </c>
      <c r="FX57">
        <v>79</v>
      </c>
      <c r="FY57">
        <v>50</v>
      </c>
      <c r="GA57" t="s">
        <v>6</v>
      </c>
      <c r="GD57">
        <v>0</v>
      </c>
      <c r="GF57">
        <v>1088305754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46"/>
        <v>0</v>
      </c>
      <c r="GM57">
        <f t="shared" si="47"/>
        <v>6351.76</v>
      </c>
      <c r="GN57">
        <f t="shared" si="48"/>
        <v>6351.76</v>
      </c>
      <c r="GO57">
        <f t="shared" si="49"/>
        <v>0</v>
      </c>
      <c r="GP57">
        <f t="shared" si="50"/>
        <v>0</v>
      </c>
      <c r="GR57">
        <v>0</v>
      </c>
      <c r="GS57">
        <v>3</v>
      </c>
      <c r="GT57">
        <v>0</v>
      </c>
      <c r="GU57" t="s">
        <v>6</v>
      </c>
      <c r="GV57">
        <f t="shared" si="51"/>
        <v>0</v>
      </c>
      <c r="GW57">
        <v>1</v>
      </c>
      <c r="GX57">
        <f t="shared" si="52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106</v>
      </c>
      <c r="D58" s="2"/>
      <c r="E58" s="2" t="s">
        <v>94</v>
      </c>
      <c r="F58" s="2" t="s">
        <v>55</v>
      </c>
      <c r="G58" s="2" t="s">
        <v>56</v>
      </c>
      <c r="H58" s="2" t="s">
        <v>57</v>
      </c>
      <c r="I58" s="2">
        <f>I56*J58</f>
        <v>1.0454399999999999</v>
      </c>
      <c r="J58" s="2">
        <v>4.84</v>
      </c>
      <c r="K58" s="2"/>
      <c r="L58" s="2"/>
      <c r="M58" s="2"/>
      <c r="N58" s="2"/>
      <c r="O58" s="2">
        <f t="shared" si="14"/>
        <v>0</v>
      </c>
      <c r="P58" s="2">
        <f t="shared" si="15"/>
        <v>0</v>
      </c>
      <c r="Q58" s="2">
        <f t="shared" si="16"/>
        <v>0</v>
      </c>
      <c r="R58" s="2">
        <f t="shared" si="17"/>
        <v>0</v>
      </c>
      <c r="S58" s="2">
        <f t="shared" si="18"/>
        <v>0</v>
      </c>
      <c r="T58" s="2">
        <f t="shared" si="19"/>
        <v>0</v>
      </c>
      <c r="U58" s="2">
        <f t="shared" si="20"/>
        <v>0</v>
      </c>
      <c r="V58" s="2">
        <f t="shared" si="21"/>
        <v>0</v>
      </c>
      <c r="W58" s="2">
        <f t="shared" si="22"/>
        <v>0</v>
      </c>
      <c r="X58" s="2">
        <f t="shared" si="23"/>
        <v>0</v>
      </c>
      <c r="Y58" s="2">
        <f t="shared" si="24"/>
        <v>0</v>
      </c>
      <c r="Z58" s="2"/>
      <c r="AA58" s="2">
        <v>16481626</v>
      </c>
      <c r="AB58" s="2">
        <f t="shared" si="25"/>
        <v>0</v>
      </c>
      <c r="AC58" s="2">
        <f t="shared" si="26"/>
        <v>0</v>
      </c>
      <c r="AD58" s="2">
        <f t="shared" si="27"/>
        <v>0</v>
      </c>
      <c r="AE58" s="2">
        <f t="shared" si="28"/>
        <v>0</v>
      </c>
      <c r="AF58" s="2">
        <f t="shared" si="29"/>
        <v>0</v>
      </c>
      <c r="AG58" s="2">
        <f t="shared" si="30"/>
        <v>0</v>
      </c>
      <c r="AH58" s="2">
        <f t="shared" si="31"/>
        <v>0</v>
      </c>
      <c r="AI58" s="2">
        <f t="shared" si="32"/>
        <v>0</v>
      </c>
      <c r="AJ58" s="2">
        <f t="shared" si="33"/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79</v>
      </c>
      <c r="AU58" s="2">
        <v>50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3</v>
      </c>
      <c r="BI58" s="2">
        <v>1</v>
      </c>
      <c r="BJ58" s="2" t="s">
        <v>6</v>
      </c>
      <c r="BK58" s="2"/>
      <c r="BL58" s="2"/>
      <c r="BM58" s="2">
        <v>61001</v>
      </c>
      <c r="BN58" s="2">
        <v>0</v>
      </c>
      <c r="BO58" s="2" t="s">
        <v>6</v>
      </c>
      <c r="BP58" s="2">
        <v>0</v>
      </c>
      <c r="BQ58" s="2">
        <v>6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79</v>
      </c>
      <c r="CA58" s="2">
        <v>50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6</v>
      </c>
      <c r="CO58" s="2">
        <v>0</v>
      </c>
      <c r="CP58" s="2">
        <f t="shared" si="34"/>
        <v>0</v>
      </c>
      <c r="CQ58" s="2">
        <f t="shared" si="35"/>
        <v>0</v>
      </c>
      <c r="CR58" s="2">
        <f t="shared" si="36"/>
        <v>0</v>
      </c>
      <c r="CS58" s="2">
        <f t="shared" si="37"/>
        <v>0</v>
      </c>
      <c r="CT58" s="2">
        <f t="shared" si="38"/>
        <v>0</v>
      </c>
      <c r="CU58" s="2">
        <f t="shared" si="39"/>
        <v>0</v>
      </c>
      <c r="CV58" s="2">
        <f t="shared" si="40"/>
        <v>0</v>
      </c>
      <c r="CW58" s="2">
        <f t="shared" si="41"/>
        <v>0</v>
      </c>
      <c r="CX58" s="2">
        <f t="shared" si="42"/>
        <v>0</v>
      </c>
      <c r="CY58" s="2">
        <f t="shared" si="43"/>
        <v>0</v>
      </c>
      <c r="CZ58" s="2">
        <f t="shared" si="44"/>
        <v>0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6</v>
      </c>
      <c r="DH58" s="2" t="s">
        <v>6</v>
      </c>
      <c r="DI58" s="2" t="s">
        <v>6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1009</v>
      </c>
      <c r="DV58" s="2" t="s">
        <v>57</v>
      </c>
      <c r="DW58" s="2" t="s">
        <v>57</v>
      </c>
      <c r="DX58" s="2">
        <v>1000</v>
      </c>
      <c r="DY58" s="2"/>
      <c r="DZ58" s="2"/>
      <c r="EA58" s="2"/>
      <c r="EB58" s="2"/>
      <c r="EC58" s="2"/>
      <c r="ED58" s="2"/>
      <c r="EE58" s="2">
        <v>15139183</v>
      </c>
      <c r="EF58" s="2">
        <v>6</v>
      </c>
      <c r="EG58" s="2" t="s">
        <v>51</v>
      </c>
      <c r="EH58" s="2">
        <v>0</v>
      </c>
      <c r="EI58" s="2" t="s">
        <v>6</v>
      </c>
      <c r="EJ58" s="2">
        <v>1</v>
      </c>
      <c r="EK58" s="2">
        <v>61001</v>
      </c>
      <c r="EL58" s="2" t="s">
        <v>74</v>
      </c>
      <c r="EM58" s="2" t="s">
        <v>75</v>
      </c>
      <c r="EN58" s="2"/>
      <c r="EO58" s="2" t="s">
        <v>6</v>
      </c>
      <c r="EP58" s="2"/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5"/>
        <v>0</v>
      </c>
      <c r="FS58" s="2">
        <v>0</v>
      </c>
      <c r="FT58" s="2"/>
      <c r="FU58" s="2"/>
      <c r="FV58" s="2"/>
      <c r="FW58" s="2"/>
      <c r="FX58" s="2">
        <v>79</v>
      </c>
      <c r="FY58" s="2">
        <v>50</v>
      </c>
      <c r="FZ58" s="2"/>
      <c r="GA58" s="2" t="s">
        <v>6</v>
      </c>
      <c r="GB58" s="2"/>
      <c r="GC58" s="2"/>
      <c r="GD58" s="2">
        <v>0</v>
      </c>
      <c r="GE58" s="2"/>
      <c r="GF58" s="2">
        <v>-179832266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46"/>
        <v>0</v>
      </c>
      <c r="GM58" s="2">
        <f t="shared" si="47"/>
        <v>0</v>
      </c>
      <c r="GN58" s="2">
        <f t="shared" si="48"/>
        <v>0</v>
      </c>
      <c r="GO58" s="2">
        <f t="shared" si="49"/>
        <v>0</v>
      </c>
      <c r="GP58" s="2">
        <f t="shared" si="50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51"/>
        <v>0</v>
      </c>
      <c r="GW58" s="2">
        <v>1</v>
      </c>
      <c r="GX58" s="2">
        <f t="shared" si="52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111</v>
      </c>
      <c r="E59" t="s">
        <v>94</v>
      </c>
      <c r="F59" t="s">
        <v>55</v>
      </c>
      <c r="G59" t="s">
        <v>56</v>
      </c>
      <c r="H59" t="s">
        <v>57</v>
      </c>
      <c r="I59">
        <f>I57*J59</f>
        <v>1.0454399999999999</v>
      </c>
      <c r="J59">
        <v>4.84</v>
      </c>
      <c r="O59">
        <f t="shared" si="14"/>
        <v>0</v>
      </c>
      <c r="P59">
        <f t="shared" si="15"/>
        <v>0</v>
      </c>
      <c r="Q59">
        <f t="shared" si="16"/>
        <v>0</v>
      </c>
      <c r="R59">
        <f t="shared" si="17"/>
        <v>0</v>
      </c>
      <c r="S59">
        <f t="shared" si="18"/>
        <v>0</v>
      </c>
      <c r="T59">
        <f t="shared" si="19"/>
        <v>0</v>
      </c>
      <c r="U59">
        <f t="shared" si="20"/>
        <v>0</v>
      </c>
      <c r="V59">
        <f t="shared" si="21"/>
        <v>0</v>
      </c>
      <c r="W59">
        <f t="shared" si="22"/>
        <v>0</v>
      </c>
      <c r="X59">
        <f t="shared" si="23"/>
        <v>0</v>
      </c>
      <c r="Y59">
        <f t="shared" si="24"/>
        <v>0</v>
      </c>
      <c r="AA59">
        <v>16481627</v>
      </c>
      <c r="AB59">
        <f t="shared" si="25"/>
        <v>0</v>
      </c>
      <c r="AC59">
        <f t="shared" si="26"/>
        <v>0</v>
      </c>
      <c r="AD59">
        <f t="shared" si="27"/>
        <v>0</v>
      </c>
      <c r="AE59">
        <f t="shared" si="28"/>
        <v>0</v>
      </c>
      <c r="AF59">
        <f t="shared" si="29"/>
        <v>0</v>
      </c>
      <c r="AG59">
        <f t="shared" si="30"/>
        <v>0</v>
      </c>
      <c r="AH59">
        <f t="shared" si="31"/>
        <v>0</v>
      </c>
      <c r="AI59">
        <f t="shared" si="32"/>
        <v>0</v>
      </c>
      <c r="AJ59">
        <f t="shared" si="33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79</v>
      </c>
      <c r="AU59">
        <v>50</v>
      </c>
      <c r="AV59">
        <v>1</v>
      </c>
      <c r="AW59">
        <v>1</v>
      </c>
      <c r="AZ59">
        <v>5.99</v>
      </c>
      <c r="BA59">
        <v>1</v>
      </c>
      <c r="BB59">
        <v>1</v>
      </c>
      <c r="BC59">
        <v>5.99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6</v>
      </c>
      <c r="BM59">
        <v>61001</v>
      </c>
      <c r="BN59">
        <v>0</v>
      </c>
      <c r="BO59" t="s">
        <v>6</v>
      </c>
      <c r="BP59">
        <v>0</v>
      </c>
      <c r="BQ59">
        <v>6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79</v>
      </c>
      <c r="CA59">
        <v>50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34"/>
        <v>0</v>
      </c>
      <c r="CQ59">
        <f t="shared" si="35"/>
        <v>0</v>
      </c>
      <c r="CR59">
        <f t="shared" si="36"/>
        <v>0</v>
      </c>
      <c r="CS59">
        <f t="shared" si="37"/>
        <v>0</v>
      </c>
      <c r="CT59">
        <f t="shared" si="38"/>
        <v>0</v>
      </c>
      <c r="CU59">
        <f t="shared" si="39"/>
        <v>0</v>
      </c>
      <c r="CV59">
        <f t="shared" si="40"/>
        <v>0</v>
      </c>
      <c r="CW59">
        <f t="shared" si="41"/>
        <v>0</v>
      </c>
      <c r="CX59">
        <f t="shared" si="42"/>
        <v>0</v>
      </c>
      <c r="CY59">
        <f t="shared" si="43"/>
        <v>0</v>
      </c>
      <c r="CZ59">
        <f t="shared" si="44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1009</v>
      </c>
      <c r="DV59" t="s">
        <v>57</v>
      </c>
      <c r="DW59" t="s">
        <v>57</v>
      </c>
      <c r="DX59">
        <v>1000</v>
      </c>
      <c r="EE59">
        <v>15139183</v>
      </c>
      <c r="EF59">
        <v>6</v>
      </c>
      <c r="EG59" t="s">
        <v>51</v>
      </c>
      <c r="EH59">
        <v>0</v>
      </c>
      <c r="EI59" t="s">
        <v>6</v>
      </c>
      <c r="EJ59">
        <v>1</v>
      </c>
      <c r="EK59">
        <v>61001</v>
      </c>
      <c r="EL59" t="s">
        <v>74</v>
      </c>
      <c r="EM59" t="s">
        <v>75</v>
      </c>
      <c r="EO59" t="s">
        <v>6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5"/>
        <v>0</v>
      </c>
      <c r="FS59">
        <v>0</v>
      </c>
      <c r="FX59">
        <v>79</v>
      </c>
      <c r="FY59">
        <v>50</v>
      </c>
      <c r="GA59" t="s">
        <v>6</v>
      </c>
      <c r="GD59">
        <v>0</v>
      </c>
      <c r="GF59">
        <v>-179832266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46"/>
        <v>0</v>
      </c>
      <c r="GM59">
        <f t="shared" si="47"/>
        <v>0</v>
      </c>
      <c r="GN59">
        <f t="shared" si="48"/>
        <v>0</v>
      </c>
      <c r="GO59">
        <f t="shared" si="49"/>
        <v>0</v>
      </c>
      <c r="GP59">
        <f t="shared" si="50"/>
        <v>0</v>
      </c>
      <c r="GR59">
        <v>0</v>
      </c>
      <c r="GS59">
        <v>3</v>
      </c>
      <c r="GT59">
        <v>0</v>
      </c>
      <c r="GU59" t="s">
        <v>6</v>
      </c>
      <c r="GV59">
        <f t="shared" si="51"/>
        <v>0</v>
      </c>
      <c r="GW59">
        <v>1</v>
      </c>
      <c r="GX59">
        <f t="shared" si="52"/>
        <v>0</v>
      </c>
      <c r="HA59">
        <v>0</v>
      </c>
      <c r="HB59"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ROW(SmtRes!A123)</f>
        <v>123</v>
      </c>
      <c r="D60" s="2">
        <f>ROW(EtalonRes!A114)</f>
        <v>114</v>
      </c>
      <c r="E60" s="2" t="s">
        <v>95</v>
      </c>
      <c r="F60" s="2" t="s">
        <v>96</v>
      </c>
      <c r="G60" s="2" t="s">
        <v>97</v>
      </c>
      <c r="H60" s="2" t="s">
        <v>16</v>
      </c>
      <c r="I60" s="2">
        <f>ROUND(21.6/100,9)</f>
        <v>0.216</v>
      </c>
      <c r="J60" s="2">
        <v>0</v>
      </c>
      <c r="K60" s="2"/>
      <c r="L60" s="2"/>
      <c r="M60" s="2"/>
      <c r="N60" s="2"/>
      <c r="O60" s="2">
        <f t="shared" si="14"/>
        <v>148.05000000000001</v>
      </c>
      <c r="P60" s="2">
        <f t="shared" si="15"/>
        <v>118.07</v>
      </c>
      <c r="Q60" s="2">
        <f t="shared" si="16"/>
        <v>1.79</v>
      </c>
      <c r="R60" s="2">
        <f t="shared" si="17"/>
        <v>0.3</v>
      </c>
      <c r="S60" s="2">
        <f t="shared" si="18"/>
        <v>28.19</v>
      </c>
      <c r="T60" s="2">
        <f t="shared" si="19"/>
        <v>0</v>
      </c>
      <c r="U60" s="2">
        <f t="shared" si="20"/>
        <v>3.1082399999999999</v>
      </c>
      <c r="V60" s="2">
        <f t="shared" si="21"/>
        <v>2.5919999999999999E-2</v>
      </c>
      <c r="W60" s="2">
        <f t="shared" si="22"/>
        <v>0</v>
      </c>
      <c r="X60" s="2">
        <f t="shared" si="23"/>
        <v>27.07</v>
      </c>
      <c r="Y60" s="2">
        <f t="shared" si="24"/>
        <v>13.39</v>
      </c>
      <c r="Z60" s="2"/>
      <c r="AA60" s="2">
        <v>16481626</v>
      </c>
      <c r="AB60" s="2">
        <f t="shared" si="25"/>
        <v>685.42</v>
      </c>
      <c r="AC60" s="2">
        <f t="shared" si="26"/>
        <v>546.6</v>
      </c>
      <c r="AD60" s="2">
        <f t="shared" si="27"/>
        <v>8.3000000000000007</v>
      </c>
      <c r="AE60" s="2">
        <f t="shared" si="28"/>
        <v>1.39</v>
      </c>
      <c r="AF60" s="2">
        <f t="shared" si="29"/>
        <v>130.52000000000001</v>
      </c>
      <c r="AG60" s="2">
        <f t="shared" si="30"/>
        <v>0</v>
      </c>
      <c r="AH60" s="2">
        <f t="shared" si="31"/>
        <v>14.39</v>
      </c>
      <c r="AI60" s="2">
        <f t="shared" si="32"/>
        <v>0.12</v>
      </c>
      <c r="AJ60" s="2">
        <f t="shared" si="33"/>
        <v>0</v>
      </c>
      <c r="AK60" s="2">
        <v>685.42</v>
      </c>
      <c r="AL60" s="2">
        <v>546.6</v>
      </c>
      <c r="AM60" s="2">
        <v>8.3000000000000007</v>
      </c>
      <c r="AN60" s="2">
        <v>1.39</v>
      </c>
      <c r="AO60" s="2">
        <v>130.52000000000001</v>
      </c>
      <c r="AP60" s="2">
        <v>0</v>
      </c>
      <c r="AQ60" s="2">
        <v>14.39</v>
      </c>
      <c r="AR60" s="2">
        <v>0.12</v>
      </c>
      <c r="AS60" s="2">
        <v>0</v>
      </c>
      <c r="AT60" s="2">
        <v>95</v>
      </c>
      <c r="AU60" s="2">
        <v>47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0</v>
      </c>
      <c r="BI60" s="2">
        <v>1</v>
      </c>
      <c r="BJ60" s="2" t="s">
        <v>98</v>
      </c>
      <c r="BK60" s="2"/>
      <c r="BL60" s="2"/>
      <c r="BM60" s="2">
        <v>15001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105</v>
      </c>
      <c r="CA60" s="2">
        <v>55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34"/>
        <v>148.05000000000001</v>
      </c>
      <c r="CQ60" s="2">
        <f t="shared" si="35"/>
        <v>546.6</v>
      </c>
      <c r="CR60" s="2">
        <f t="shared" si="36"/>
        <v>8.3000000000000007</v>
      </c>
      <c r="CS60" s="2">
        <f t="shared" si="37"/>
        <v>1.39</v>
      </c>
      <c r="CT60" s="2">
        <f t="shared" si="38"/>
        <v>130.52000000000001</v>
      </c>
      <c r="CU60" s="2">
        <f t="shared" si="39"/>
        <v>0</v>
      </c>
      <c r="CV60" s="2">
        <f t="shared" si="40"/>
        <v>14.39</v>
      </c>
      <c r="CW60" s="2">
        <f t="shared" si="41"/>
        <v>0.12</v>
      </c>
      <c r="CX60" s="2">
        <f t="shared" si="42"/>
        <v>0</v>
      </c>
      <c r="CY60" s="2">
        <f t="shared" si="43"/>
        <v>27.0655</v>
      </c>
      <c r="CZ60" s="2">
        <f t="shared" si="44"/>
        <v>13.390300000000002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1005</v>
      </c>
      <c r="DV60" s="2" t="s">
        <v>16</v>
      </c>
      <c r="DW60" s="2" t="s">
        <v>16</v>
      </c>
      <c r="DX60" s="2">
        <v>100</v>
      </c>
      <c r="DY60" s="2"/>
      <c r="DZ60" s="2"/>
      <c r="EA60" s="2"/>
      <c r="EB60" s="2"/>
      <c r="EC60" s="2"/>
      <c r="ED60" s="2"/>
      <c r="EE60" s="2">
        <v>15139126</v>
      </c>
      <c r="EF60" s="2">
        <v>2</v>
      </c>
      <c r="EG60" s="2" t="s">
        <v>18</v>
      </c>
      <c r="EH60" s="2">
        <v>0</v>
      </c>
      <c r="EI60" s="2" t="s">
        <v>6</v>
      </c>
      <c r="EJ60" s="2">
        <v>1</v>
      </c>
      <c r="EK60" s="2">
        <v>15001</v>
      </c>
      <c r="EL60" s="2" t="s">
        <v>99</v>
      </c>
      <c r="EM60" s="2" t="s">
        <v>100</v>
      </c>
      <c r="EN60" s="2"/>
      <c r="EO60" s="2" t="s">
        <v>6</v>
      </c>
      <c r="EP60" s="2"/>
      <c r="EQ60" s="2">
        <v>0</v>
      </c>
      <c r="ER60" s="2">
        <v>685.42</v>
      </c>
      <c r="ES60" s="2">
        <v>546.6</v>
      </c>
      <c r="ET60" s="2">
        <v>8.3000000000000007</v>
      </c>
      <c r="EU60" s="2">
        <v>1.39</v>
      </c>
      <c r="EV60" s="2">
        <v>130.52000000000001</v>
      </c>
      <c r="EW60" s="2">
        <v>14.39</v>
      </c>
      <c r="EX60" s="2">
        <v>0.12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45"/>
        <v>0</v>
      </c>
      <c r="FS60" s="2">
        <v>0</v>
      </c>
      <c r="FT60" s="2" t="s">
        <v>21</v>
      </c>
      <c r="FU60" s="2" t="s">
        <v>22</v>
      </c>
      <c r="FV60" s="2"/>
      <c r="FW60" s="2"/>
      <c r="FX60" s="2">
        <v>94.5</v>
      </c>
      <c r="FY60" s="2">
        <v>46.75</v>
      </c>
      <c r="FZ60" s="2"/>
      <c r="GA60" s="2" t="s">
        <v>6</v>
      </c>
      <c r="GB60" s="2"/>
      <c r="GC60" s="2"/>
      <c r="GD60" s="2">
        <v>0</v>
      </c>
      <c r="GE60" s="2"/>
      <c r="GF60" s="2">
        <v>-560390060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46"/>
        <v>0</v>
      </c>
      <c r="GM60" s="2">
        <f t="shared" si="47"/>
        <v>188.51</v>
      </c>
      <c r="GN60" s="2">
        <f t="shared" si="48"/>
        <v>188.51</v>
      </c>
      <c r="GO60" s="2">
        <f t="shared" si="49"/>
        <v>0</v>
      </c>
      <c r="GP60" s="2">
        <f t="shared" si="50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51"/>
        <v>0</v>
      </c>
      <c r="GW60" s="2">
        <v>1</v>
      </c>
      <c r="GX60" s="2">
        <f t="shared" si="52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ROW(SmtRes!A134)</f>
        <v>134</v>
      </c>
      <c r="D61">
        <f>ROW(EtalonRes!A124)</f>
        <v>124</v>
      </c>
      <c r="E61" t="s">
        <v>95</v>
      </c>
      <c r="F61" t="s">
        <v>96</v>
      </c>
      <c r="G61" t="s">
        <v>97</v>
      </c>
      <c r="H61" t="s">
        <v>16</v>
      </c>
      <c r="I61">
        <f>ROUND(21.6/100,9)</f>
        <v>0.216</v>
      </c>
      <c r="J61">
        <v>0</v>
      </c>
      <c r="O61">
        <f t="shared" si="14"/>
        <v>886.82</v>
      </c>
      <c r="P61">
        <f t="shared" si="15"/>
        <v>707.21</v>
      </c>
      <c r="Q61">
        <f t="shared" si="16"/>
        <v>10.74</v>
      </c>
      <c r="R61">
        <f t="shared" si="17"/>
        <v>1.8</v>
      </c>
      <c r="S61">
        <f t="shared" si="18"/>
        <v>168.87</v>
      </c>
      <c r="T61">
        <f t="shared" si="19"/>
        <v>0</v>
      </c>
      <c r="U61">
        <f t="shared" si="20"/>
        <v>3.1082399999999999</v>
      </c>
      <c r="V61">
        <f t="shared" si="21"/>
        <v>2.5919999999999999E-2</v>
      </c>
      <c r="W61">
        <f t="shared" si="22"/>
        <v>0</v>
      </c>
      <c r="X61">
        <f t="shared" si="23"/>
        <v>162.13999999999999</v>
      </c>
      <c r="Y61">
        <f t="shared" si="24"/>
        <v>80.209999999999994</v>
      </c>
      <c r="AA61">
        <v>16481627</v>
      </c>
      <c r="AB61">
        <f t="shared" si="25"/>
        <v>685.42</v>
      </c>
      <c r="AC61">
        <f t="shared" si="26"/>
        <v>546.6</v>
      </c>
      <c r="AD61">
        <f t="shared" si="27"/>
        <v>8.3000000000000007</v>
      </c>
      <c r="AE61">
        <f t="shared" si="28"/>
        <v>1.39</v>
      </c>
      <c r="AF61">
        <f t="shared" si="29"/>
        <v>130.52000000000001</v>
      </c>
      <c r="AG61">
        <f t="shared" si="30"/>
        <v>0</v>
      </c>
      <c r="AH61">
        <f t="shared" si="31"/>
        <v>14.39</v>
      </c>
      <c r="AI61">
        <f t="shared" si="32"/>
        <v>0.12</v>
      </c>
      <c r="AJ61">
        <f t="shared" si="33"/>
        <v>0</v>
      </c>
      <c r="AK61">
        <v>685.42</v>
      </c>
      <c r="AL61">
        <v>546.6</v>
      </c>
      <c r="AM61">
        <v>8.3000000000000007</v>
      </c>
      <c r="AN61">
        <v>1.39</v>
      </c>
      <c r="AO61">
        <v>130.52000000000001</v>
      </c>
      <c r="AP61">
        <v>0</v>
      </c>
      <c r="AQ61">
        <v>14.39</v>
      </c>
      <c r="AR61">
        <v>0.12</v>
      </c>
      <c r="AS61">
        <v>0</v>
      </c>
      <c r="AT61">
        <v>95</v>
      </c>
      <c r="AU61">
        <v>47</v>
      </c>
      <c r="AV61">
        <v>1</v>
      </c>
      <c r="AW61">
        <v>1</v>
      </c>
      <c r="AZ61">
        <v>5.99</v>
      </c>
      <c r="BA61">
        <v>5.99</v>
      </c>
      <c r="BB61">
        <v>5.99</v>
      </c>
      <c r="BC61">
        <v>5.99</v>
      </c>
      <c r="BD61" t="s">
        <v>6</v>
      </c>
      <c r="BE61" t="s">
        <v>6</v>
      </c>
      <c r="BF61" t="s">
        <v>6</v>
      </c>
      <c r="BG61" t="s">
        <v>6</v>
      </c>
      <c r="BH61">
        <v>0</v>
      </c>
      <c r="BI61">
        <v>1</v>
      </c>
      <c r="BJ61" t="s">
        <v>98</v>
      </c>
      <c r="BM61">
        <v>15001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5.99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105</v>
      </c>
      <c r="CA61">
        <v>55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34"/>
        <v>886.82</v>
      </c>
      <c r="CQ61">
        <f t="shared" si="35"/>
        <v>3274.1340000000005</v>
      </c>
      <c r="CR61">
        <f t="shared" si="36"/>
        <v>49.717000000000006</v>
      </c>
      <c r="CS61">
        <f t="shared" si="37"/>
        <v>8.3261000000000003</v>
      </c>
      <c r="CT61">
        <f t="shared" si="38"/>
        <v>781.8148000000001</v>
      </c>
      <c r="CU61">
        <f t="shared" si="39"/>
        <v>0</v>
      </c>
      <c r="CV61">
        <f t="shared" si="40"/>
        <v>14.39</v>
      </c>
      <c r="CW61">
        <f t="shared" si="41"/>
        <v>0.12</v>
      </c>
      <c r="CX61">
        <f t="shared" si="42"/>
        <v>0</v>
      </c>
      <c r="CY61">
        <f t="shared" si="43"/>
        <v>162.13650000000001</v>
      </c>
      <c r="CZ61">
        <f t="shared" si="44"/>
        <v>80.2149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16</v>
      </c>
      <c r="DW61" t="s">
        <v>16</v>
      </c>
      <c r="DX61">
        <v>100</v>
      </c>
      <c r="EE61">
        <v>15139126</v>
      </c>
      <c r="EF61">
        <v>2</v>
      </c>
      <c r="EG61" t="s">
        <v>18</v>
      </c>
      <c r="EH61">
        <v>0</v>
      </c>
      <c r="EI61" t="s">
        <v>6</v>
      </c>
      <c r="EJ61">
        <v>1</v>
      </c>
      <c r="EK61">
        <v>15001</v>
      </c>
      <c r="EL61" t="s">
        <v>99</v>
      </c>
      <c r="EM61" t="s">
        <v>100</v>
      </c>
      <c r="EO61" t="s">
        <v>6</v>
      </c>
      <c r="EQ61">
        <v>0</v>
      </c>
      <c r="ER61">
        <v>685.42</v>
      </c>
      <c r="ES61">
        <v>546.6</v>
      </c>
      <c r="ET61">
        <v>8.3000000000000007</v>
      </c>
      <c r="EU61">
        <v>1.39</v>
      </c>
      <c r="EV61">
        <v>130.52000000000001</v>
      </c>
      <c r="EW61">
        <v>14.39</v>
      </c>
      <c r="EX61">
        <v>0.12</v>
      </c>
      <c r="EY61">
        <v>0</v>
      </c>
      <c r="FQ61">
        <v>0</v>
      </c>
      <c r="FR61">
        <f t="shared" si="45"/>
        <v>0</v>
      </c>
      <c r="FS61">
        <v>0</v>
      </c>
      <c r="FT61" t="s">
        <v>21</v>
      </c>
      <c r="FU61" t="s">
        <v>22</v>
      </c>
      <c r="FX61">
        <v>94.5</v>
      </c>
      <c r="FY61">
        <v>46.75</v>
      </c>
      <c r="GA61" t="s">
        <v>6</v>
      </c>
      <c r="GD61">
        <v>0</v>
      </c>
      <c r="GF61">
        <v>-560390060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46"/>
        <v>0</v>
      </c>
      <c r="GM61">
        <f t="shared" si="47"/>
        <v>1129.17</v>
      </c>
      <c r="GN61">
        <f t="shared" si="48"/>
        <v>1129.17</v>
      </c>
      <c r="GO61">
        <f t="shared" si="49"/>
        <v>0</v>
      </c>
      <c r="GP61">
        <f t="shared" si="50"/>
        <v>0</v>
      </c>
      <c r="GR61">
        <v>0</v>
      </c>
      <c r="GS61">
        <v>3</v>
      </c>
      <c r="GT61">
        <v>0</v>
      </c>
      <c r="GU61" t="s">
        <v>6</v>
      </c>
      <c r="GV61">
        <f t="shared" si="51"/>
        <v>0</v>
      </c>
      <c r="GW61">
        <v>1</v>
      </c>
      <c r="GX61">
        <f t="shared" si="52"/>
        <v>0</v>
      </c>
      <c r="HA61">
        <v>0</v>
      </c>
      <c r="HB61"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120</v>
      </c>
      <c r="D62" s="2"/>
      <c r="E62" s="2" t="s">
        <v>101</v>
      </c>
      <c r="F62" s="2" t="s">
        <v>102</v>
      </c>
      <c r="G62" s="2" t="s">
        <v>103</v>
      </c>
      <c r="H62" s="2" t="s">
        <v>57</v>
      </c>
      <c r="I62" s="2">
        <f>I60*J62</f>
        <v>1.2744E-2</v>
      </c>
      <c r="J62" s="2">
        <v>5.9000000000000004E-2</v>
      </c>
      <c r="K62" s="2"/>
      <c r="L62" s="2"/>
      <c r="M62" s="2"/>
      <c r="N62" s="2"/>
      <c r="O62" s="2">
        <f t="shared" si="14"/>
        <v>0</v>
      </c>
      <c r="P62" s="2">
        <f t="shared" si="15"/>
        <v>0</v>
      </c>
      <c r="Q62" s="2">
        <f t="shared" si="16"/>
        <v>0</v>
      </c>
      <c r="R62" s="2">
        <f t="shared" si="17"/>
        <v>0</v>
      </c>
      <c r="S62" s="2">
        <f t="shared" si="18"/>
        <v>0</v>
      </c>
      <c r="T62" s="2">
        <f t="shared" si="19"/>
        <v>0</v>
      </c>
      <c r="U62" s="2">
        <f t="shared" si="20"/>
        <v>0</v>
      </c>
      <c r="V62" s="2">
        <f t="shared" si="21"/>
        <v>0</v>
      </c>
      <c r="W62" s="2">
        <f t="shared" si="22"/>
        <v>0</v>
      </c>
      <c r="X62" s="2">
        <f t="shared" si="23"/>
        <v>0</v>
      </c>
      <c r="Y62" s="2">
        <f t="shared" si="24"/>
        <v>0</v>
      </c>
      <c r="Z62" s="2"/>
      <c r="AA62" s="2">
        <v>16481626</v>
      </c>
      <c r="AB62" s="2">
        <f t="shared" si="25"/>
        <v>0</v>
      </c>
      <c r="AC62" s="2">
        <f t="shared" si="26"/>
        <v>0</v>
      </c>
      <c r="AD62" s="2">
        <f t="shared" si="27"/>
        <v>0</v>
      </c>
      <c r="AE62" s="2">
        <f t="shared" si="28"/>
        <v>0</v>
      </c>
      <c r="AF62" s="2">
        <f t="shared" si="29"/>
        <v>0</v>
      </c>
      <c r="AG62" s="2">
        <f t="shared" si="30"/>
        <v>0</v>
      </c>
      <c r="AH62" s="2">
        <f t="shared" si="31"/>
        <v>0</v>
      </c>
      <c r="AI62" s="2">
        <f t="shared" si="32"/>
        <v>0</v>
      </c>
      <c r="AJ62" s="2">
        <f t="shared" si="33"/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95</v>
      </c>
      <c r="AU62" s="2">
        <v>47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3</v>
      </c>
      <c r="BI62" s="2">
        <v>1</v>
      </c>
      <c r="BJ62" s="2" t="s">
        <v>6</v>
      </c>
      <c r="BK62" s="2"/>
      <c r="BL62" s="2"/>
      <c r="BM62" s="2">
        <v>15001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105</v>
      </c>
      <c r="CA62" s="2">
        <v>55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34"/>
        <v>0</v>
      </c>
      <c r="CQ62" s="2">
        <f t="shared" si="35"/>
        <v>0</v>
      </c>
      <c r="CR62" s="2">
        <f t="shared" si="36"/>
        <v>0</v>
      </c>
      <c r="CS62" s="2">
        <f t="shared" si="37"/>
        <v>0</v>
      </c>
      <c r="CT62" s="2">
        <f t="shared" si="38"/>
        <v>0</v>
      </c>
      <c r="CU62" s="2">
        <f t="shared" si="39"/>
        <v>0</v>
      </c>
      <c r="CV62" s="2">
        <f t="shared" si="40"/>
        <v>0</v>
      </c>
      <c r="CW62" s="2">
        <f t="shared" si="41"/>
        <v>0</v>
      </c>
      <c r="CX62" s="2">
        <f t="shared" si="42"/>
        <v>0</v>
      </c>
      <c r="CY62" s="2">
        <f t="shared" si="43"/>
        <v>0</v>
      </c>
      <c r="CZ62" s="2">
        <f t="shared" si="44"/>
        <v>0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1009</v>
      </c>
      <c r="DV62" s="2" t="s">
        <v>57</v>
      </c>
      <c r="DW62" s="2" t="s">
        <v>57</v>
      </c>
      <c r="DX62" s="2">
        <v>1000</v>
      </c>
      <c r="DY62" s="2"/>
      <c r="DZ62" s="2"/>
      <c r="EA62" s="2"/>
      <c r="EB62" s="2"/>
      <c r="EC62" s="2"/>
      <c r="ED62" s="2"/>
      <c r="EE62" s="2">
        <v>15139126</v>
      </c>
      <c r="EF62" s="2">
        <v>2</v>
      </c>
      <c r="EG62" s="2" t="s">
        <v>18</v>
      </c>
      <c r="EH62" s="2">
        <v>0</v>
      </c>
      <c r="EI62" s="2" t="s">
        <v>6</v>
      </c>
      <c r="EJ62" s="2">
        <v>1</v>
      </c>
      <c r="EK62" s="2">
        <v>15001</v>
      </c>
      <c r="EL62" s="2" t="s">
        <v>99</v>
      </c>
      <c r="EM62" s="2" t="s">
        <v>100</v>
      </c>
      <c r="EN62" s="2"/>
      <c r="EO62" s="2" t="s">
        <v>6</v>
      </c>
      <c r="EP62" s="2"/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45"/>
        <v>0</v>
      </c>
      <c r="FS62" s="2">
        <v>0</v>
      </c>
      <c r="FT62" s="2" t="s">
        <v>21</v>
      </c>
      <c r="FU62" s="2" t="s">
        <v>22</v>
      </c>
      <c r="FV62" s="2"/>
      <c r="FW62" s="2"/>
      <c r="FX62" s="2">
        <v>94.5</v>
      </c>
      <c r="FY62" s="2">
        <v>46.75</v>
      </c>
      <c r="FZ62" s="2"/>
      <c r="GA62" s="2" t="s">
        <v>6</v>
      </c>
      <c r="GB62" s="2"/>
      <c r="GC62" s="2"/>
      <c r="GD62" s="2">
        <v>0</v>
      </c>
      <c r="GE62" s="2"/>
      <c r="GF62" s="2">
        <v>1182840811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46"/>
        <v>0</v>
      </c>
      <c r="GM62" s="2">
        <f t="shared" si="47"/>
        <v>0</v>
      </c>
      <c r="GN62" s="2">
        <f t="shared" si="48"/>
        <v>0</v>
      </c>
      <c r="GO62" s="2">
        <f t="shared" si="49"/>
        <v>0</v>
      </c>
      <c r="GP62" s="2">
        <f t="shared" si="50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51"/>
        <v>0</v>
      </c>
      <c r="GW62" s="2">
        <v>1</v>
      </c>
      <c r="GX62" s="2">
        <f t="shared" si="52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131</v>
      </c>
      <c r="E63" t="s">
        <v>101</v>
      </c>
      <c r="F63" t="s">
        <v>102</v>
      </c>
      <c r="G63" t="s">
        <v>103</v>
      </c>
      <c r="H63" t="s">
        <v>57</v>
      </c>
      <c r="I63">
        <f>I61*J63</f>
        <v>1.2744E-2</v>
      </c>
      <c r="J63">
        <v>5.9000000000000004E-2</v>
      </c>
      <c r="O63">
        <f t="shared" si="14"/>
        <v>0</v>
      </c>
      <c r="P63">
        <f t="shared" si="15"/>
        <v>0</v>
      </c>
      <c r="Q63">
        <f t="shared" si="16"/>
        <v>0</v>
      </c>
      <c r="R63">
        <f t="shared" si="17"/>
        <v>0</v>
      </c>
      <c r="S63">
        <f t="shared" si="18"/>
        <v>0</v>
      </c>
      <c r="T63">
        <f t="shared" si="19"/>
        <v>0</v>
      </c>
      <c r="U63">
        <f t="shared" si="20"/>
        <v>0</v>
      </c>
      <c r="V63">
        <f t="shared" si="21"/>
        <v>0</v>
      </c>
      <c r="W63">
        <f t="shared" si="22"/>
        <v>0</v>
      </c>
      <c r="X63">
        <f t="shared" si="23"/>
        <v>0</v>
      </c>
      <c r="Y63">
        <f t="shared" si="24"/>
        <v>0</v>
      </c>
      <c r="AA63">
        <v>16481627</v>
      </c>
      <c r="AB63">
        <f t="shared" si="25"/>
        <v>0</v>
      </c>
      <c r="AC63">
        <f t="shared" si="26"/>
        <v>0</v>
      </c>
      <c r="AD63">
        <f t="shared" si="27"/>
        <v>0</v>
      </c>
      <c r="AE63">
        <f t="shared" si="28"/>
        <v>0</v>
      </c>
      <c r="AF63">
        <f t="shared" si="29"/>
        <v>0</v>
      </c>
      <c r="AG63">
        <f t="shared" si="30"/>
        <v>0</v>
      </c>
      <c r="AH63">
        <f t="shared" si="31"/>
        <v>0</v>
      </c>
      <c r="AI63">
        <f t="shared" si="32"/>
        <v>0</v>
      </c>
      <c r="AJ63">
        <f t="shared" si="33"/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95</v>
      </c>
      <c r="AU63">
        <v>47</v>
      </c>
      <c r="AV63">
        <v>1</v>
      </c>
      <c r="AW63">
        <v>1</v>
      </c>
      <c r="AZ63">
        <v>5.99</v>
      </c>
      <c r="BA63">
        <v>1</v>
      </c>
      <c r="BB63">
        <v>1</v>
      </c>
      <c r="BC63">
        <v>5.99</v>
      </c>
      <c r="BD63" t="s">
        <v>6</v>
      </c>
      <c r="BE63" t="s">
        <v>6</v>
      </c>
      <c r="BF63" t="s">
        <v>6</v>
      </c>
      <c r="BG63" t="s">
        <v>6</v>
      </c>
      <c r="BH63">
        <v>3</v>
      </c>
      <c r="BI63">
        <v>1</v>
      </c>
      <c r="BJ63" t="s">
        <v>6</v>
      </c>
      <c r="BM63">
        <v>15001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105</v>
      </c>
      <c r="CA63">
        <v>55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34"/>
        <v>0</v>
      </c>
      <c r="CQ63">
        <f t="shared" si="35"/>
        <v>0</v>
      </c>
      <c r="CR63">
        <f t="shared" si="36"/>
        <v>0</v>
      </c>
      <c r="CS63">
        <f t="shared" si="37"/>
        <v>0</v>
      </c>
      <c r="CT63">
        <f t="shared" si="38"/>
        <v>0</v>
      </c>
      <c r="CU63">
        <f t="shared" si="39"/>
        <v>0</v>
      </c>
      <c r="CV63">
        <f t="shared" si="40"/>
        <v>0</v>
      </c>
      <c r="CW63">
        <f t="shared" si="41"/>
        <v>0</v>
      </c>
      <c r="CX63">
        <f t="shared" si="42"/>
        <v>0</v>
      </c>
      <c r="CY63">
        <f t="shared" si="43"/>
        <v>0</v>
      </c>
      <c r="CZ63">
        <f t="shared" si="44"/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1009</v>
      </c>
      <c r="DV63" t="s">
        <v>57</v>
      </c>
      <c r="DW63" t="s">
        <v>57</v>
      </c>
      <c r="DX63">
        <v>1000</v>
      </c>
      <c r="EE63">
        <v>15139126</v>
      </c>
      <c r="EF63">
        <v>2</v>
      </c>
      <c r="EG63" t="s">
        <v>18</v>
      </c>
      <c r="EH63">
        <v>0</v>
      </c>
      <c r="EI63" t="s">
        <v>6</v>
      </c>
      <c r="EJ63">
        <v>1</v>
      </c>
      <c r="EK63">
        <v>15001</v>
      </c>
      <c r="EL63" t="s">
        <v>99</v>
      </c>
      <c r="EM63" t="s">
        <v>100</v>
      </c>
      <c r="EO63" t="s">
        <v>6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45"/>
        <v>0</v>
      </c>
      <c r="FS63">
        <v>0</v>
      </c>
      <c r="FT63" t="s">
        <v>21</v>
      </c>
      <c r="FU63" t="s">
        <v>22</v>
      </c>
      <c r="FX63">
        <v>94.5</v>
      </c>
      <c r="FY63">
        <v>46.75</v>
      </c>
      <c r="GA63" t="s">
        <v>6</v>
      </c>
      <c r="GD63">
        <v>0</v>
      </c>
      <c r="GF63">
        <v>1182840811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46"/>
        <v>0</v>
      </c>
      <c r="GM63">
        <f t="shared" si="47"/>
        <v>0</v>
      </c>
      <c r="GN63">
        <f t="shared" si="48"/>
        <v>0</v>
      </c>
      <c r="GO63">
        <f t="shared" si="49"/>
        <v>0</v>
      </c>
      <c r="GP63">
        <f t="shared" si="50"/>
        <v>0</v>
      </c>
      <c r="GR63">
        <v>0</v>
      </c>
      <c r="GS63">
        <v>3</v>
      </c>
      <c r="GT63">
        <v>0</v>
      </c>
      <c r="GU63" t="s">
        <v>6</v>
      </c>
      <c r="GV63">
        <f t="shared" si="51"/>
        <v>0</v>
      </c>
      <c r="GW63">
        <v>1</v>
      </c>
      <c r="GX63">
        <f t="shared" si="52"/>
        <v>0</v>
      </c>
      <c r="HA63">
        <v>0</v>
      </c>
      <c r="HB63"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121</v>
      </c>
      <c r="D64" s="2"/>
      <c r="E64" s="2" t="s">
        <v>104</v>
      </c>
      <c r="F64" s="2" t="s">
        <v>105</v>
      </c>
      <c r="G64" s="2" t="s">
        <v>106</v>
      </c>
      <c r="H64" s="2" t="s">
        <v>57</v>
      </c>
      <c r="I64" s="2">
        <f>I60*J64</f>
        <v>1.2744999999999999E-2</v>
      </c>
      <c r="J64" s="2">
        <v>5.9004629629629629E-2</v>
      </c>
      <c r="K64" s="2"/>
      <c r="L64" s="2"/>
      <c r="M64" s="2"/>
      <c r="N64" s="2"/>
      <c r="O64" s="2">
        <f t="shared" si="14"/>
        <v>203.78</v>
      </c>
      <c r="P64" s="2">
        <f t="shared" si="15"/>
        <v>203.78</v>
      </c>
      <c r="Q64" s="2">
        <f t="shared" si="16"/>
        <v>0</v>
      </c>
      <c r="R64" s="2">
        <f t="shared" si="17"/>
        <v>0</v>
      </c>
      <c r="S64" s="2">
        <f t="shared" si="18"/>
        <v>0</v>
      </c>
      <c r="T64" s="2">
        <f t="shared" si="19"/>
        <v>0</v>
      </c>
      <c r="U64" s="2">
        <f t="shared" si="20"/>
        <v>0</v>
      </c>
      <c r="V64" s="2">
        <f t="shared" si="21"/>
        <v>0</v>
      </c>
      <c r="W64" s="2">
        <f t="shared" si="22"/>
        <v>0</v>
      </c>
      <c r="X64" s="2">
        <f t="shared" si="23"/>
        <v>0</v>
      </c>
      <c r="Y64" s="2">
        <f t="shared" si="24"/>
        <v>0</v>
      </c>
      <c r="Z64" s="2"/>
      <c r="AA64" s="2">
        <v>16481626</v>
      </c>
      <c r="AB64" s="2">
        <f t="shared" si="25"/>
        <v>15989</v>
      </c>
      <c r="AC64" s="2">
        <f t="shared" si="26"/>
        <v>15989</v>
      </c>
      <c r="AD64" s="2">
        <f t="shared" si="27"/>
        <v>0</v>
      </c>
      <c r="AE64" s="2">
        <f t="shared" si="28"/>
        <v>0</v>
      </c>
      <c r="AF64" s="2">
        <f t="shared" si="29"/>
        <v>0</v>
      </c>
      <c r="AG64" s="2">
        <f t="shared" si="30"/>
        <v>0</v>
      </c>
      <c r="AH64" s="2">
        <f t="shared" si="31"/>
        <v>0</v>
      </c>
      <c r="AI64" s="2">
        <f t="shared" si="32"/>
        <v>0</v>
      </c>
      <c r="AJ64" s="2">
        <f t="shared" si="33"/>
        <v>0</v>
      </c>
      <c r="AK64" s="2">
        <v>15989</v>
      </c>
      <c r="AL64" s="2">
        <v>15989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95</v>
      </c>
      <c r="AU64" s="2">
        <v>47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3</v>
      </c>
      <c r="BI64" s="2">
        <v>1</v>
      </c>
      <c r="BJ64" s="2" t="s">
        <v>107</v>
      </c>
      <c r="BK64" s="2"/>
      <c r="BL64" s="2"/>
      <c r="BM64" s="2">
        <v>15001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105</v>
      </c>
      <c r="CA64" s="2">
        <v>55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 t="shared" si="34"/>
        <v>203.78</v>
      </c>
      <c r="CQ64" s="2">
        <f t="shared" si="35"/>
        <v>15989</v>
      </c>
      <c r="CR64" s="2">
        <f t="shared" si="36"/>
        <v>0</v>
      </c>
      <c r="CS64" s="2">
        <f t="shared" si="37"/>
        <v>0</v>
      </c>
      <c r="CT64" s="2">
        <f t="shared" si="38"/>
        <v>0</v>
      </c>
      <c r="CU64" s="2">
        <f t="shared" si="39"/>
        <v>0</v>
      </c>
      <c r="CV64" s="2">
        <f t="shared" si="40"/>
        <v>0</v>
      </c>
      <c r="CW64" s="2">
        <f t="shared" si="41"/>
        <v>0</v>
      </c>
      <c r="CX64" s="2">
        <f t="shared" si="42"/>
        <v>0</v>
      </c>
      <c r="CY64" s="2">
        <f t="shared" si="43"/>
        <v>0</v>
      </c>
      <c r="CZ64" s="2">
        <f t="shared" si="44"/>
        <v>0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1009</v>
      </c>
      <c r="DV64" s="2" t="s">
        <v>57</v>
      </c>
      <c r="DW64" s="2" t="s">
        <v>57</v>
      </c>
      <c r="DX64" s="2">
        <v>1000</v>
      </c>
      <c r="DY64" s="2"/>
      <c r="DZ64" s="2"/>
      <c r="EA64" s="2"/>
      <c r="EB64" s="2"/>
      <c r="EC64" s="2"/>
      <c r="ED64" s="2"/>
      <c r="EE64" s="2">
        <v>15139126</v>
      </c>
      <c r="EF64" s="2">
        <v>2</v>
      </c>
      <c r="EG64" s="2" t="s">
        <v>18</v>
      </c>
      <c r="EH64" s="2">
        <v>0</v>
      </c>
      <c r="EI64" s="2" t="s">
        <v>6</v>
      </c>
      <c r="EJ64" s="2">
        <v>1</v>
      </c>
      <c r="EK64" s="2">
        <v>15001</v>
      </c>
      <c r="EL64" s="2" t="s">
        <v>99</v>
      </c>
      <c r="EM64" s="2" t="s">
        <v>100</v>
      </c>
      <c r="EN64" s="2"/>
      <c r="EO64" s="2" t="s">
        <v>6</v>
      </c>
      <c r="EP64" s="2"/>
      <c r="EQ64" s="2">
        <v>0</v>
      </c>
      <c r="ER64" s="2">
        <v>15989</v>
      </c>
      <c r="ES64" s="2">
        <v>15989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45"/>
        <v>0</v>
      </c>
      <c r="FS64" s="2">
        <v>0</v>
      </c>
      <c r="FT64" s="2" t="s">
        <v>21</v>
      </c>
      <c r="FU64" s="2" t="s">
        <v>22</v>
      </c>
      <c r="FV64" s="2"/>
      <c r="FW64" s="2"/>
      <c r="FX64" s="2">
        <v>94.5</v>
      </c>
      <c r="FY64" s="2">
        <v>46.75</v>
      </c>
      <c r="FZ64" s="2"/>
      <c r="GA64" s="2" t="s">
        <v>6</v>
      </c>
      <c r="GB64" s="2"/>
      <c r="GC64" s="2"/>
      <c r="GD64" s="2">
        <v>0</v>
      </c>
      <c r="GE64" s="2"/>
      <c r="GF64" s="2">
        <v>2085149391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46"/>
        <v>0</v>
      </c>
      <c r="GM64" s="2">
        <f t="shared" si="47"/>
        <v>203.78</v>
      </c>
      <c r="GN64" s="2">
        <f t="shared" si="48"/>
        <v>203.78</v>
      </c>
      <c r="GO64" s="2">
        <f t="shared" si="49"/>
        <v>0</v>
      </c>
      <c r="GP64" s="2">
        <f t="shared" si="50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51"/>
        <v>0</v>
      </c>
      <c r="GW64" s="2">
        <v>1</v>
      </c>
      <c r="GX64" s="2">
        <f t="shared" si="52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132</v>
      </c>
      <c r="E65" t="s">
        <v>104</v>
      </c>
      <c r="F65" t="s">
        <v>105</v>
      </c>
      <c r="G65" t="s">
        <v>106</v>
      </c>
      <c r="H65" t="s">
        <v>57</v>
      </c>
      <c r="I65">
        <f>I61*J65</f>
        <v>1.2744999999999999E-2</v>
      </c>
      <c r="J65">
        <v>5.9004629629629629E-2</v>
      </c>
      <c r="O65">
        <f t="shared" si="14"/>
        <v>1220.6400000000001</v>
      </c>
      <c r="P65">
        <f t="shared" si="15"/>
        <v>1220.6400000000001</v>
      </c>
      <c r="Q65">
        <f t="shared" si="16"/>
        <v>0</v>
      </c>
      <c r="R65">
        <f t="shared" si="17"/>
        <v>0</v>
      </c>
      <c r="S65">
        <f t="shared" si="18"/>
        <v>0</v>
      </c>
      <c r="T65">
        <f t="shared" si="19"/>
        <v>0</v>
      </c>
      <c r="U65">
        <f t="shared" si="20"/>
        <v>0</v>
      </c>
      <c r="V65">
        <f t="shared" si="21"/>
        <v>0</v>
      </c>
      <c r="W65">
        <f t="shared" si="22"/>
        <v>0</v>
      </c>
      <c r="X65">
        <f t="shared" si="23"/>
        <v>0</v>
      </c>
      <c r="Y65">
        <f t="shared" si="24"/>
        <v>0</v>
      </c>
      <c r="AA65">
        <v>16481627</v>
      </c>
      <c r="AB65">
        <f t="shared" si="25"/>
        <v>15989</v>
      </c>
      <c r="AC65">
        <f t="shared" si="26"/>
        <v>15989</v>
      </c>
      <c r="AD65">
        <f t="shared" si="27"/>
        <v>0</v>
      </c>
      <c r="AE65">
        <f t="shared" si="28"/>
        <v>0</v>
      </c>
      <c r="AF65">
        <f t="shared" si="29"/>
        <v>0</v>
      </c>
      <c r="AG65">
        <f t="shared" si="30"/>
        <v>0</v>
      </c>
      <c r="AH65">
        <f t="shared" si="31"/>
        <v>0</v>
      </c>
      <c r="AI65">
        <f t="shared" si="32"/>
        <v>0</v>
      </c>
      <c r="AJ65">
        <f t="shared" si="33"/>
        <v>0</v>
      </c>
      <c r="AK65">
        <v>15989</v>
      </c>
      <c r="AL65">
        <v>15989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47</v>
      </c>
      <c r="AV65">
        <v>1</v>
      </c>
      <c r="AW65">
        <v>1</v>
      </c>
      <c r="AZ65">
        <v>5.99</v>
      </c>
      <c r="BA65">
        <v>1</v>
      </c>
      <c r="BB65">
        <v>1</v>
      </c>
      <c r="BC65">
        <v>5.99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1</v>
      </c>
      <c r="BJ65" t="s">
        <v>107</v>
      </c>
      <c r="BM65">
        <v>15001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105</v>
      </c>
      <c r="CA65">
        <v>55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34"/>
        <v>1220.6400000000001</v>
      </c>
      <c r="CQ65">
        <f t="shared" si="35"/>
        <v>95774.11</v>
      </c>
      <c r="CR65">
        <f t="shared" si="36"/>
        <v>0</v>
      </c>
      <c r="CS65">
        <f t="shared" si="37"/>
        <v>0</v>
      </c>
      <c r="CT65">
        <f t="shared" si="38"/>
        <v>0</v>
      </c>
      <c r="CU65">
        <f t="shared" si="39"/>
        <v>0</v>
      </c>
      <c r="CV65">
        <f t="shared" si="40"/>
        <v>0</v>
      </c>
      <c r="CW65">
        <f t="shared" si="41"/>
        <v>0</v>
      </c>
      <c r="CX65">
        <f t="shared" si="42"/>
        <v>0</v>
      </c>
      <c r="CY65">
        <f t="shared" si="43"/>
        <v>0</v>
      </c>
      <c r="CZ65">
        <f t="shared" si="44"/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57</v>
      </c>
      <c r="DW65" t="s">
        <v>57</v>
      </c>
      <c r="DX65">
        <v>1000</v>
      </c>
      <c r="EE65">
        <v>15139126</v>
      </c>
      <c r="EF65">
        <v>2</v>
      </c>
      <c r="EG65" t="s">
        <v>18</v>
      </c>
      <c r="EH65">
        <v>0</v>
      </c>
      <c r="EI65" t="s">
        <v>6</v>
      </c>
      <c r="EJ65">
        <v>1</v>
      </c>
      <c r="EK65">
        <v>15001</v>
      </c>
      <c r="EL65" t="s">
        <v>99</v>
      </c>
      <c r="EM65" t="s">
        <v>100</v>
      </c>
      <c r="EO65" t="s">
        <v>6</v>
      </c>
      <c r="EQ65">
        <v>0</v>
      </c>
      <c r="ER65">
        <v>15989</v>
      </c>
      <c r="ES65">
        <v>15989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45"/>
        <v>0</v>
      </c>
      <c r="FS65">
        <v>0</v>
      </c>
      <c r="FT65" t="s">
        <v>21</v>
      </c>
      <c r="FU65" t="s">
        <v>22</v>
      </c>
      <c r="FX65">
        <v>94.5</v>
      </c>
      <c r="FY65">
        <v>46.75</v>
      </c>
      <c r="GA65" t="s">
        <v>6</v>
      </c>
      <c r="GD65">
        <v>0</v>
      </c>
      <c r="GF65">
        <v>2085149391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46"/>
        <v>0</v>
      </c>
      <c r="GM65">
        <f t="shared" si="47"/>
        <v>1220.6400000000001</v>
      </c>
      <c r="GN65">
        <f t="shared" si="48"/>
        <v>1220.6400000000001</v>
      </c>
      <c r="GO65">
        <f t="shared" si="49"/>
        <v>0</v>
      </c>
      <c r="GP65">
        <f t="shared" si="50"/>
        <v>0</v>
      </c>
      <c r="GR65">
        <v>0</v>
      </c>
      <c r="GS65">
        <v>3</v>
      </c>
      <c r="GT65">
        <v>0</v>
      </c>
      <c r="GU65" t="s">
        <v>6</v>
      </c>
      <c r="GV65">
        <f t="shared" si="51"/>
        <v>0</v>
      </c>
      <c r="GW65">
        <v>1</v>
      </c>
      <c r="GX65">
        <f t="shared" si="52"/>
        <v>0</v>
      </c>
      <c r="HA65">
        <v>0</v>
      </c>
      <c r="HB65">
        <v>0</v>
      </c>
      <c r="IK65">
        <v>0</v>
      </c>
    </row>
    <row r="66" spans="1:255" x14ac:dyDescent="0.2">
      <c r="A66" s="2">
        <v>17</v>
      </c>
      <c r="B66" s="2">
        <v>1</v>
      </c>
      <c r="C66" s="2"/>
      <c r="D66" s="2"/>
      <c r="E66" s="2" t="s">
        <v>108</v>
      </c>
      <c r="F66" s="2" t="s">
        <v>109</v>
      </c>
      <c r="G66" s="2" t="s">
        <v>110</v>
      </c>
      <c r="H66" s="2" t="s">
        <v>111</v>
      </c>
      <c r="I66" s="2">
        <v>3.1</v>
      </c>
      <c r="J66" s="2">
        <v>0</v>
      </c>
      <c r="K66" s="2"/>
      <c r="L66" s="2"/>
      <c r="M66" s="2"/>
      <c r="N66" s="2"/>
      <c r="O66" s="2">
        <f>0</f>
        <v>0</v>
      </c>
      <c r="P66" s="2">
        <f>0</f>
        <v>0</v>
      </c>
      <c r="Q66" s="2">
        <f>0</f>
        <v>0</v>
      </c>
      <c r="R66" s="2">
        <f>0</f>
        <v>0</v>
      </c>
      <c r="S66" s="2">
        <f>0</f>
        <v>0</v>
      </c>
      <c r="T66" s="2">
        <f>0</f>
        <v>0</v>
      </c>
      <c r="U66" s="2">
        <f>0</f>
        <v>0</v>
      </c>
      <c r="V66" s="2">
        <f>0</f>
        <v>0</v>
      </c>
      <c r="W66" s="2">
        <f>0</f>
        <v>0</v>
      </c>
      <c r="X66" s="2">
        <f>0</f>
        <v>0</v>
      </c>
      <c r="Y66" s="2">
        <f>0</f>
        <v>0</v>
      </c>
      <c r="Z66" s="2"/>
      <c r="AA66" s="2">
        <v>16481626</v>
      </c>
      <c r="AB66" s="2">
        <f>ROUND((AK66),6)</f>
        <v>42.98</v>
      </c>
      <c r="AC66" s="2">
        <f>0</f>
        <v>0</v>
      </c>
      <c r="AD66" s="2">
        <f>0</f>
        <v>0</v>
      </c>
      <c r="AE66" s="2">
        <f>0</f>
        <v>0</v>
      </c>
      <c r="AF66" s="2">
        <f>0</f>
        <v>0</v>
      </c>
      <c r="AG66" s="2">
        <f>0</f>
        <v>0</v>
      </c>
      <c r="AH66" s="2">
        <f>0</f>
        <v>0</v>
      </c>
      <c r="AI66" s="2">
        <f>0</f>
        <v>0</v>
      </c>
      <c r="AJ66" s="2">
        <f>0</f>
        <v>0</v>
      </c>
      <c r="AK66" s="2">
        <v>42.98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0</v>
      </c>
      <c r="BI66" s="2">
        <v>1</v>
      </c>
      <c r="BJ66" s="2" t="s">
        <v>112</v>
      </c>
      <c r="BK66" s="2"/>
      <c r="BL66" s="2"/>
      <c r="BM66" s="2">
        <v>700004</v>
      </c>
      <c r="BN66" s="2">
        <v>0</v>
      </c>
      <c r="BO66" s="2" t="s">
        <v>6</v>
      </c>
      <c r="BP66" s="2">
        <v>0</v>
      </c>
      <c r="BQ66" s="2">
        <v>19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0</v>
      </c>
      <c r="CA66" s="2">
        <v>0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>AB66*AZ66</f>
        <v>42.98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1013</v>
      </c>
      <c r="DV66" s="2" t="s">
        <v>111</v>
      </c>
      <c r="DW66" s="2" t="s">
        <v>111</v>
      </c>
      <c r="DX66" s="2">
        <v>1</v>
      </c>
      <c r="DY66" s="2"/>
      <c r="DZ66" s="2"/>
      <c r="EA66" s="2"/>
      <c r="EB66" s="2"/>
      <c r="EC66" s="2"/>
      <c r="ED66" s="2"/>
      <c r="EE66" s="2">
        <v>15139288</v>
      </c>
      <c r="EF66" s="2">
        <v>19</v>
      </c>
      <c r="EG66" s="2" t="s">
        <v>113</v>
      </c>
      <c r="EH66" s="2">
        <v>0</v>
      </c>
      <c r="EI66" s="2" t="s">
        <v>6</v>
      </c>
      <c r="EJ66" s="2">
        <v>1</v>
      </c>
      <c r="EK66" s="2">
        <v>700004</v>
      </c>
      <c r="EL66" s="2" t="s">
        <v>114</v>
      </c>
      <c r="EM66" s="2" t="s">
        <v>115</v>
      </c>
      <c r="EN66" s="2"/>
      <c r="EO66" s="2" t="s">
        <v>6</v>
      </c>
      <c r="EP66" s="2"/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45"/>
        <v>0</v>
      </c>
      <c r="FS66" s="2">
        <v>0</v>
      </c>
      <c r="FT66" s="2"/>
      <c r="FU66" s="2"/>
      <c r="FV66" s="2"/>
      <c r="FW66" s="2"/>
      <c r="FX66" s="2">
        <v>0</v>
      </c>
      <c r="FY66" s="2">
        <v>0</v>
      </c>
      <c r="FZ66" s="2"/>
      <c r="GA66" s="2" t="s">
        <v>6</v>
      </c>
      <c r="GB66" s="2"/>
      <c r="GC66" s="2"/>
      <c r="GD66" s="2">
        <v>0</v>
      </c>
      <c r="GE66" s="2"/>
      <c r="GF66" s="2">
        <v>811861299</v>
      </c>
      <c r="GG66" s="2">
        <v>2</v>
      </c>
      <c r="GH66" s="2">
        <v>1</v>
      </c>
      <c r="GI66" s="2">
        <v>-2</v>
      </c>
      <c r="GJ66" s="2">
        <v>2</v>
      </c>
      <c r="GK66" s="2">
        <f>ROUND(R66*(R12)/100,2)</f>
        <v>0</v>
      </c>
      <c r="GL66" s="2">
        <f t="shared" si="46"/>
        <v>0</v>
      </c>
      <c r="GM66" s="2">
        <f>ROUND(CP66*I66,2)</f>
        <v>133.24</v>
      </c>
      <c r="GN66" s="2">
        <f>IF(OR(BI66=0,BI66=1),ROUND(CP66*I66,2),0)</f>
        <v>133.24</v>
      </c>
      <c r="GO66" s="2">
        <f>IF(BI66=2,ROUND(CP66*I66,2),0)</f>
        <v>0</v>
      </c>
      <c r="GP66" s="2">
        <f>IF(BI66=4,ROUND(CP66*I66,2)+GX66,0)</f>
        <v>0</v>
      </c>
      <c r="GQ66" s="2"/>
      <c r="GR66" s="2">
        <v>0</v>
      </c>
      <c r="GS66" s="2">
        <v>3</v>
      </c>
      <c r="GT66" s="2"/>
      <c r="GU66" s="2" t="s">
        <v>6</v>
      </c>
      <c r="GV66" s="2">
        <f>0</f>
        <v>0</v>
      </c>
      <c r="GW66" s="2">
        <v>1</v>
      </c>
      <c r="GX66" s="2">
        <f t="shared" si="52"/>
        <v>0</v>
      </c>
      <c r="GY66" s="2">
        <v>0</v>
      </c>
      <c r="GZ66" s="2">
        <v>0</v>
      </c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E67" t="s">
        <v>108</v>
      </c>
      <c r="F67" t="s">
        <v>109</v>
      </c>
      <c r="G67" t="s">
        <v>110</v>
      </c>
      <c r="H67" t="s">
        <v>111</v>
      </c>
      <c r="I67">
        <v>3.1</v>
      </c>
      <c r="J67">
        <v>0</v>
      </c>
      <c r="O67">
        <f>0</f>
        <v>0</v>
      </c>
      <c r="P67">
        <f>0</f>
        <v>0</v>
      </c>
      <c r="Q67">
        <f>0</f>
        <v>0</v>
      </c>
      <c r="R67">
        <f>0</f>
        <v>0</v>
      </c>
      <c r="S67">
        <f>0</f>
        <v>0</v>
      </c>
      <c r="T67">
        <f>0</f>
        <v>0</v>
      </c>
      <c r="U67">
        <f>0</f>
        <v>0</v>
      </c>
      <c r="V67">
        <f>0</f>
        <v>0</v>
      </c>
      <c r="W67">
        <f>0</f>
        <v>0</v>
      </c>
      <c r="X67">
        <f>0</f>
        <v>0</v>
      </c>
      <c r="Y67">
        <f>0</f>
        <v>0</v>
      </c>
      <c r="AA67">
        <v>16481627</v>
      </c>
      <c r="AB67">
        <f>ROUND((AK67),6)</f>
        <v>42.98</v>
      </c>
      <c r="AC67">
        <f>0</f>
        <v>0</v>
      </c>
      <c r="AD67">
        <f>0</f>
        <v>0</v>
      </c>
      <c r="AE67">
        <f>0</f>
        <v>0</v>
      </c>
      <c r="AF67">
        <f>0</f>
        <v>0</v>
      </c>
      <c r="AG67">
        <f>0</f>
        <v>0</v>
      </c>
      <c r="AH67">
        <f>0</f>
        <v>0</v>
      </c>
      <c r="AI67">
        <f>0</f>
        <v>0</v>
      </c>
      <c r="AJ67">
        <f>0</f>
        <v>0</v>
      </c>
      <c r="AK67">
        <v>42.98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1</v>
      </c>
      <c r="AW67">
        <v>1</v>
      </c>
      <c r="AZ67">
        <v>5.99</v>
      </c>
      <c r="BA67">
        <v>1</v>
      </c>
      <c r="BB67">
        <v>1</v>
      </c>
      <c r="BC67">
        <v>1</v>
      </c>
      <c r="BD67" t="s">
        <v>6</v>
      </c>
      <c r="BE67" t="s">
        <v>6</v>
      </c>
      <c r="BF67" t="s">
        <v>6</v>
      </c>
      <c r="BG67" t="s">
        <v>6</v>
      </c>
      <c r="BH67">
        <v>0</v>
      </c>
      <c r="BI67">
        <v>1</v>
      </c>
      <c r="BJ67" t="s">
        <v>112</v>
      </c>
      <c r="BM67">
        <v>700004</v>
      </c>
      <c r="BN67">
        <v>0</v>
      </c>
      <c r="BO67" t="s">
        <v>6</v>
      </c>
      <c r="BP67">
        <v>0</v>
      </c>
      <c r="BQ67">
        <v>19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0</v>
      </c>
      <c r="CA67">
        <v>0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>AB67*AZ67</f>
        <v>257.4502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1013</v>
      </c>
      <c r="DV67" t="s">
        <v>111</v>
      </c>
      <c r="DW67" t="s">
        <v>111</v>
      </c>
      <c r="DX67">
        <v>1</v>
      </c>
      <c r="EE67">
        <v>15139288</v>
      </c>
      <c r="EF67">
        <v>19</v>
      </c>
      <c r="EG67" t="s">
        <v>113</v>
      </c>
      <c r="EH67">
        <v>0</v>
      </c>
      <c r="EI67" t="s">
        <v>6</v>
      </c>
      <c r="EJ67">
        <v>1</v>
      </c>
      <c r="EK67">
        <v>700004</v>
      </c>
      <c r="EL67" t="s">
        <v>114</v>
      </c>
      <c r="EM67" t="s">
        <v>115</v>
      </c>
      <c r="EO67" t="s">
        <v>6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FQ67">
        <v>0</v>
      </c>
      <c r="FR67">
        <f t="shared" si="45"/>
        <v>0</v>
      </c>
      <c r="FS67">
        <v>0</v>
      </c>
      <c r="FX67">
        <v>0</v>
      </c>
      <c r="FY67">
        <v>0</v>
      </c>
      <c r="GA67" t="s">
        <v>6</v>
      </c>
      <c r="GD67">
        <v>0</v>
      </c>
      <c r="GF67">
        <v>811861299</v>
      </c>
      <c r="GG67">
        <v>1</v>
      </c>
      <c r="GH67">
        <v>1</v>
      </c>
      <c r="GI67">
        <v>4</v>
      </c>
      <c r="GJ67">
        <v>2</v>
      </c>
      <c r="GK67">
        <f>ROUND(R67*(S12)/100,2)</f>
        <v>0</v>
      </c>
      <c r="GL67">
        <f t="shared" si="46"/>
        <v>0</v>
      </c>
      <c r="GM67">
        <f>ROUND(CP67*I67,2)</f>
        <v>798.1</v>
      </c>
      <c r="GN67">
        <f>IF(OR(BI67=0,BI67=1),ROUND(CP67*I67,2),0)</f>
        <v>798.1</v>
      </c>
      <c r="GO67">
        <f>IF(BI67=2,ROUND(CP67*I67,2),0)</f>
        <v>0</v>
      </c>
      <c r="GP67">
        <f>IF(BI67=4,ROUND(CP67*I67,2)+GX67,0)</f>
        <v>0</v>
      </c>
      <c r="GR67">
        <v>0</v>
      </c>
      <c r="GS67">
        <v>3</v>
      </c>
      <c r="GU67" t="s">
        <v>6</v>
      </c>
      <c r="GV67">
        <f>0</f>
        <v>0</v>
      </c>
      <c r="GW67">
        <v>1</v>
      </c>
      <c r="GX67">
        <f t="shared" si="52"/>
        <v>0</v>
      </c>
      <c r="GY67">
        <v>0</v>
      </c>
      <c r="GZ67">
        <v>0</v>
      </c>
      <c r="HA67">
        <v>0</v>
      </c>
      <c r="HB67">
        <v>0</v>
      </c>
      <c r="IK67">
        <v>0</v>
      </c>
    </row>
    <row r="68" spans="1:255" x14ac:dyDescent="0.2">
      <c r="A68" s="2">
        <v>17</v>
      </c>
      <c r="B68" s="2">
        <v>1</v>
      </c>
      <c r="C68" s="2"/>
      <c r="D68" s="2"/>
      <c r="E68" s="2" t="s">
        <v>116</v>
      </c>
      <c r="F68" s="2" t="s">
        <v>117</v>
      </c>
      <c r="G68" s="2" t="s">
        <v>118</v>
      </c>
      <c r="H68" s="2" t="s">
        <v>111</v>
      </c>
      <c r="I68" s="2">
        <v>3.1</v>
      </c>
      <c r="J68" s="2">
        <v>0</v>
      </c>
      <c r="K68" s="2"/>
      <c r="L68" s="2"/>
      <c r="M68" s="2"/>
      <c r="N68" s="2"/>
      <c r="O68" s="2">
        <f>0</f>
        <v>0</v>
      </c>
      <c r="P68" s="2">
        <f>0</f>
        <v>0</v>
      </c>
      <c r="Q68" s="2">
        <f>0</f>
        <v>0</v>
      </c>
      <c r="R68" s="2">
        <f>0</f>
        <v>0</v>
      </c>
      <c r="S68" s="2">
        <f>0</f>
        <v>0</v>
      </c>
      <c r="T68" s="2">
        <f>0</f>
        <v>0</v>
      </c>
      <c r="U68" s="2">
        <f>0</f>
        <v>0</v>
      </c>
      <c r="V68" s="2">
        <f>0</f>
        <v>0</v>
      </c>
      <c r="W68" s="2">
        <f>0</f>
        <v>0</v>
      </c>
      <c r="X68" s="2">
        <f>0</f>
        <v>0</v>
      </c>
      <c r="Y68" s="2">
        <f>0</f>
        <v>0</v>
      </c>
      <c r="Z68" s="2"/>
      <c r="AA68" s="2">
        <v>16481626</v>
      </c>
      <c r="AB68" s="2">
        <f>ROUND((AK68),6)</f>
        <v>13.38</v>
      </c>
      <c r="AC68" s="2">
        <f>0</f>
        <v>0</v>
      </c>
      <c r="AD68" s="2">
        <f>0</f>
        <v>0</v>
      </c>
      <c r="AE68" s="2">
        <f>0</f>
        <v>0</v>
      </c>
      <c r="AF68" s="2">
        <f>0</f>
        <v>0</v>
      </c>
      <c r="AG68" s="2">
        <f>0</f>
        <v>0</v>
      </c>
      <c r="AH68" s="2">
        <f>0</f>
        <v>0</v>
      </c>
      <c r="AI68" s="2">
        <f>0</f>
        <v>0</v>
      </c>
      <c r="AJ68" s="2">
        <f>0</f>
        <v>0</v>
      </c>
      <c r="AK68" s="2">
        <v>13.38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0</v>
      </c>
      <c r="BI68" s="2">
        <v>1</v>
      </c>
      <c r="BJ68" s="2" t="s">
        <v>119</v>
      </c>
      <c r="BK68" s="2"/>
      <c r="BL68" s="2"/>
      <c r="BM68" s="2">
        <v>700005</v>
      </c>
      <c r="BN68" s="2">
        <v>0</v>
      </c>
      <c r="BO68" s="2" t="s">
        <v>6</v>
      </c>
      <c r="BP68" s="2">
        <v>0</v>
      </c>
      <c r="BQ68" s="2">
        <v>10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0</v>
      </c>
      <c r="CA68" s="2">
        <v>0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>AB68*AZ68</f>
        <v>13.38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1013</v>
      </c>
      <c r="DV68" s="2" t="s">
        <v>111</v>
      </c>
      <c r="DW68" s="2" t="s">
        <v>111</v>
      </c>
      <c r="DX68" s="2">
        <v>1</v>
      </c>
      <c r="DY68" s="2"/>
      <c r="DZ68" s="2"/>
      <c r="EA68" s="2"/>
      <c r="EB68" s="2"/>
      <c r="EC68" s="2"/>
      <c r="ED68" s="2"/>
      <c r="EE68" s="2">
        <v>15139292</v>
      </c>
      <c r="EF68" s="2">
        <v>10</v>
      </c>
      <c r="EG68" s="2" t="s">
        <v>120</v>
      </c>
      <c r="EH68" s="2">
        <v>0</v>
      </c>
      <c r="EI68" s="2" t="s">
        <v>6</v>
      </c>
      <c r="EJ68" s="2">
        <v>1</v>
      </c>
      <c r="EK68" s="2">
        <v>700005</v>
      </c>
      <c r="EL68" s="2" t="s">
        <v>121</v>
      </c>
      <c r="EM68" s="2" t="s">
        <v>122</v>
      </c>
      <c r="EN68" s="2"/>
      <c r="EO68" s="2" t="s">
        <v>6</v>
      </c>
      <c r="EP68" s="2"/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45"/>
        <v>0</v>
      </c>
      <c r="FS68" s="2">
        <v>0</v>
      </c>
      <c r="FT68" s="2"/>
      <c r="FU68" s="2"/>
      <c r="FV68" s="2"/>
      <c r="FW68" s="2"/>
      <c r="FX68" s="2">
        <v>0</v>
      </c>
      <c r="FY68" s="2">
        <v>0</v>
      </c>
      <c r="FZ68" s="2"/>
      <c r="GA68" s="2" t="s">
        <v>6</v>
      </c>
      <c r="GB68" s="2"/>
      <c r="GC68" s="2"/>
      <c r="GD68" s="2">
        <v>0</v>
      </c>
      <c r="GE68" s="2"/>
      <c r="GF68" s="2">
        <v>57370386</v>
      </c>
      <c r="GG68" s="2">
        <v>2</v>
      </c>
      <c r="GH68" s="2">
        <v>1</v>
      </c>
      <c r="GI68" s="2">
        <v>-2</v>
      </c>
      <c r="GJ68" s="2">
        <v>2</v>
      </c>
      <c r="GK68" s="2">
        <f>ROUND(R68*(R12)/100,2)</f>
        <v>0</v>
      </c>
      <c r="GL68" s="2">
        <f t="shared" si="46"/>
        <v>0</v>
      </c>
      <c r="GM68" s="2">
        <f>ROUND(CP68*I68,2)</f>
        <v>41.48</v>
      </c>
      <c r="GN68" s="2">
        <f>IF(OR(BI68=0,BI68=1),ROUND(CP68*I68,2),0)</f>
        <v>41.48</v>
      </c>
      <c r="GO68" s="2">
        <f>IF(BI68=2,ROUND(CP68*I68,2),0)</f>
        <v>0</v>
      </c>
      <c r="GP68" s="2">
        <f>IF(BI68=4,ROUND(CP68*I68,2)+GX68,0)</f>
        <v>0</v>
      </c>
      <c r="GQ68" s="2"/>
      <c r="GR68" s="2">
        <v>0</v>
      </c>
      <c r="GS68" s="2">
        <v>3</v>
      </c>
      <c r="GT68" s="2"/>
      <c r="GU68" s="2" t="s">
        <v>6</v>
      </c>
      <c r="GV68" s="2">
        <f>0</f>
        <v>0</v>
      </c>
      <c r="GW68" s="2">
        <v>1</v>
      </c>
      <c r="GX68" s="2">
        <f t="shared" si="52"/>
        <v>0</v>
      </c>
      <c r="GY68" s="2">
        <v>0</v>
      </c>
      <c r="GZ68" s="2">
        <v>0</v>
      </c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E69" t="s">
        <v>116</v>
      </c>
      <c r="F69" t="s">
        <v>117</v>
      </c>
      <c r="G69" t="s">
        <v>118</v>
      </c>
      <c r="H69" t="s">
        <v>111</v>
      </c>
      <c r="I69">
        <v>3.1</v>
      </c>
      <c r="J69">
        <v>0</v>
      </c>
      <c r="O69">
        <f>0</f>
        <v>0</v>
      </c>
      <c r="P69">
        <f>0</f>
        <v>0</v>
      </c>
      <c r="Q69">
        <f>0</f>
        <v>0</v>
      </c>
      <c r="R69">
        <f>0</f>
        <v>0</v>
      </c>
      <c r="S69">
        <f>0</f>
        <v>0</v>
      </c>
      <c r="T69">
        <f>0</f>
        <v>0</v>
      </c>
      <c r="U69">
        <f>0</f>
        <v>0</v>
      </c>
      <c r="V69">
        <f>0</f>
        <v>0</v>
      </c>
      <c r="W69">
        <f>0</f>
        <v>0</v>
      </c>
      <c r="X69">
        <f>0</f>
        <v>0</v>
      </c>
      <c r="Y69">
        <f>0</f>
        <v>0</v>
      </c>
      <c r="AA69">
        <v>16481627</v>
      </c>
      <c r="AB69">
        <f>ROUND((AK69),6)</f>
        <v>13.38</v>
      </c>
      <c r="AC69">
        <f>0</f>
        <v>0</v>
      </c>
      <c r="AD69">
        <f>0</f>
        <v>0</v>
      </c>
      <c r="AE69">
        <f>0</f>
        <v>0</v>
      </c>
      <c r="AF69">
        <f>0</f>
        <v>0</v>
      </c>
      <c r="AG69">
        <f>0</f>
        <v>0</v>
      </c>
      <c r="AH69">
        <f>0</f>
        <v>0</v>
      </c>
      <c r="AI69">
        <f>0</f>
        <v>0</v>
      </c>
      <c r="AJ69">
        <f>0</f>
        <v>0</v>
      </c>
      <c r="AK69">
        <v>13.38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1</v>
      </c>
      <c r="AW69">
        <v>1</v>
      </c>
      <c r="AZ69">
        <v>5.99</v>
      </c>
      <c r="BA69">
        <v>1</v>
      </c>
      <c r="BB69">
        <v>1</v>
      </c>
      <c r="BC69">
        <v>1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119</v>
      </c>
      <c r="BM69">
        <v>700005</v>
      </c>
      <c r="BN69">
        <v>0</v>
      </c>
      <c r="BO69" t="s">
        <v>6</v>
      </c>
      <c r="BP69">
        <v>0</v>
      </c>
      <c r="BQ69">
        <v>10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0</v>
      </c>
      <c r="CA69">
        <v>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>AB69*AZ69</f>
        <v>80.146200000000007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111</v>
      </c>
      <c r="DW69" t="s">
        <v>111</v>
      </c>
      <c r="DX69">
        <v>1</v>
      </c>
      <c r="EE69">
        <v>15139292</v>
      </c>
      <c r="EF69">
        <v>10</v>
      </c>
      <c r="EG69" t="s">
        <v>120</v>
      </c>
      <c r="EH69">
        <v>0</v>
      </c>
      <c r="EI69" t="s">
        <v>6</v>
      </c>
      <c r="EJ69">
        <v>1</v>
      </c>
      <c r="EK69">
        <v>700005</v>
      </c>
      <c r="EL69" t="s">
        <v>121</v>
      </c>
      <c r="EM69" t="s">
        <v>122</v>
      </c>
      <c r="EO69" t="s">
        <v>6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FQ69">
        <v>0</v>
      </c>
      <c r="FR69">
        <f t="shared" si="45"/>
        <v>0</v>
      </c>
      <c r="FS69">
        <v>0</v>
      </c>
      <c r="FX69">
        <v>0</v>
      </c>
      <c r="FY69">
        <v>0</v>
      </c>
      <c r="GA69" t="s">
        <v>6</v>
      </c>
      <c r="GD69">
        <v>0</v>
      </c>
      <c r="GF69">
        <v>57370386</v>
      </c>
      <c r="GG69">
        <v>1</v>
      </c>
      <c r="GH69">
        <v>1</v>
      </c>
      <c r="GI69">
        <v>4</v>
      </c>
      <c r="GJ69">
        <v>2</v>
      </c>
      <c r="GK69">
        <f>ROUND(R69*(S12)/100,2)</f>
        <v>0</v>
      </c>
      <c r="GL69">
        <f t="shared" si="46"/>
        <v>0</v>
      </c>
      <c r="GM69">
        <f>ROUND(CP69*I69,2)</f>
        <v>248.45</v>
      </c>
      <c r="GN69">
        <f>IF(OR(BI69=0,BI69=1),ROUND(CP69*I69,2),0)</f>
        <v>248.45</v>
      </c>
      <c r="GO69">
        <f>IF(BI69=2,ROUND(CP69*I69,2),0)</f>
        <v>0</v>
      </c>
      <c r="GP69">
        <f>IF(BI69=4,ROUND(CP69*I69,2)+GX69,0)</f>
        <v>0</v>
      </c>
      <c r="GR69">
        <v>0</v>
      </c>
      <c r="GS69">
        <v>3</v>
      </c>
      <c r="GU69" t="s">
        <v>6</v>
      </c>
      <c r="GV69">
        <f>0</f>
        <v>0</v>
      </c>
      <c r="GW69">
        <v>1</v>
      </c>
      <c r="GX69">
        <f t="shared" si="52"/>
        <v>0</v>
      </c>
      <c r="GY69">
        <v>0</v>
      </c>
      <c r="GZ69">
        <v>0</v>
      </c>
      <c r="HA69">
        <v>0</v>
      </c>
      <c r="HB69">
        <v>0</v>
      </c>
      <c r="IK69">
        <v>0</v>
      </c>
    </row>
    <row r="71" spans="1:255" x14ac:dyDescent="0.2">
      <c r="A71" s="3">
        <v>51</v>
      </c>
      <c r="B71" s="3">
        <f>B20</f>
        <v>1</v>
      </c>
      <c r="C71" s="3">
        <f>A20</f>
        <v>3</v>
      </c>
      <c r="D71" s="3">
        <f>ROW(A20)</f>
        <v>20</v>
      </c>
      <c r="E71" s="3"/>
      <c r="F71" s="3" t="str">
        <f>IF(F20&lt;&gt;"",F20,"")</f>
        <v>Новая локальная смета</v>
      </c>
      <c r="G71" s="3" t="str">
        <f>IF(G20&lt;&gt;"",G20,"")</f>
        <v>Новая локальная смета</v>
      </c>
      <c r="H71" s="3">
        <v>0</v>
      </c>
      <c r="I71" s="3"/>
      <c r="J71" s="3"/>
      <c r="K71" s="3"/>
      <c r="L71" s="3"/>
      <c r="M71" s="3"/>
      <c r="N71" s="3"/>
      <c r="O71" s="3">
        <f t="shared" ref="O71:T71" si="53">ROUND(AB71,2)</f>
        <v>232998.25</v>
      </c>
      <c r="P71" s="3">
        <f t="shared" si="53"/>
        <v>228447.37</v>
      </c>
      <c r="Q71" s="3">
        <f t="shared" si="53"/>
        <v>529.55999999999995</v>
      </c>
      <c r="R71" s="3">
        <f t="shared" si="53"/>
        <v>164.69</v>
      </c>
      <c r="S71" s="3">
        <f t="shared" si="53"/>
        <v>4021.32</v>
      </c>
      <c r="T71" s="3">
        <f t="shared" si="53"/>
        <v>0</v>
      </c>
      <c r="U71" s="3">
        <f>AH71</f>
        <v>474.07652999999999</v>
      </c>
      <c r="V71" s="3">
        <f>AI71</f>
        <v>12.734423999999997</v>
      </c>
      <c r="W71" s="3">
        <f>ROUND(AJ71,2)</f>
        <v>0</v>
      </c>
      <c r="X71" s="3">
        <f>ROUND(AK71,2)</f>
        <v>4041.31</v>
      </c>
      <c r="Y71" s="3">
        <f>ROUND(AL71,2)</f>
        <v>2329.4699999999998</v>
      </c>
      <c r="Z71" s="3"/>
      <c r="AA71" s="3"/>
      <c r="AB71" s="3">
        <f>ROUND(SUMIF(AA24:AA69,"=16481626",O24:O69),2)</f>
        <v>232998.25</v>
      </c>
      <c r="AC71" s="3">
        <f>ROUND(SUMIF(AA24:AA69,"=16481626",P24:P69),2)</f>
        <v>228447.37</v>
      </c>
      <c r="AD71" s="3">
        <f>ROUND(SUMIF(AA24:AA69,"=16481626",Q24:Q69),2)</f>
        <v>529.55999999999995</v>
      </c>
      <c r="AE71" s="3">
        <f>ROUND(SUMIF(AA24:AA69,"=16481626",R24:R69),2)</f>
        <v>164.69</v>
      </c>
      <c r="AF71" s="3">
        <f>ROUND(SUMIF(AA24:AA69,"=16481626",S24:S69),2)</f>
        <v>4021.32</v>
      </c>
      <c r="AG71" s="3">
        <f>ROUND(SUMIF(AA24:AA69,"=16481626",T24:T69),2)</f>
        <v>0</v>
      </c>
      <c r="AH71" s="3">
        <f>SUMIF(AA24:AA69,"=16481626",U24:U69)</f>
        <v>474.07652999999999</v>
      </c>
      <c r="AI71" s="3">
        <f>SUMIF(AA24:AA69,"=16481626",V24:V69)</f>
        <v>12.734423999999997</v>
      </c>
      <c r="AJ71" s="3">
        <f>ROUND(SUMIF(AA24:AA69,"=16481626",W24:W69),2)</f>
        <v>0</v>
      </c>
      <c r="AK71" s="3">
        <f>ROUND(SUMIF(AA24:AA69,"=16481626",X24:X69),2)</f>
        <v>4041.31</v>
      </c>
      <c r="AL71" s="3">
        <f>ROUND(SUMIF(AA24:AA69,"=16481626",Y24:Y69),2)</f>
        <v>2329.4699999999998</v>
      </c>
      <c r="AM71" s="3"/>
      <c r="AN71" s="3"/>
      <c r="AO71" s="3">
        <f t="shared" ref="AO71:BC71" si="54">ROUND(BX71,2)</f>
        <v>0</v>
      </c>
      <c r="AP71" s="3">
        <f t="shared" si="54"/>
        <v>0</v>
      </c>
      <c r="AQ71" s="3">
        <f t="shared" si="54"/>
        <v>0</v>
      </c>
      <c r="AR71" s="3">
        <f t="shared" si="54"/>
        <v>239543.75</v>
      </c>
      <c r="AS71" s="3">
        <f t="shared" si="54"/>
        <v>239543.75</v>
      </c>
      <c r="AT71" s="3">
        <f t="shared" si="54"/>
        <v>0</v>
      </c>
      <c r="AU71" s="3">
        <f t="shared" si="54"/>
        <v>0</v>
      </c>
      <c r="AV71" s="3">
        <f t="shared" si="54"/>
        <v>228447.37</v>
      </c>
      <c r="AW71" s="3">
        <f t="shared" si="54"/>
        <v>228447.37</v>
      </c>
      <c r="AX71" s="3">
        <f t="shared" si="54"/>
        <v>0</v>
      </c>
      <c r="AY71" s="3">
        <f t="shared" si="54"/>
        <v>228447.37</v>
      </c>
      <c r="AZ71" s="3">
        <f t="shared" si="54"/>
        <v>0</v>
      </c>
      <c r="BA71" s="3">
        <f t="shared" si="54"/>
        <v>0</v>
      </c>
      <c r="BB71" s="3">
        <f t="shared" si="54"/>
        <v>0</v>
      </c>
      <c r="BC71" s="3">
        <f t="shared" si="54"/>
        <v>0</v>
      </c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>
        <f>ROUND(SUMIF(AA24:AA69,"=16481626",FQ24:FQ69),2)</f>
        <v>0</v>
      </c>
      <c r="BY71" s="3">
        <f>ROUND(SUMIF(AA24:AA69,"=16481626",FR24:FR69),2)</f>
        <v>0</v>
      </c>
      <c r="BZ71" s="3">
        <f>ROUND(SUMIF(AA24:AA69,"=16481626",GL24:GL69),2)</f>
        <v>0</v>
      </c>
      <c r="CA71" s="3">
        <f>ROUND(SUMIF(AA24:AA69,"=16481626",GM24:GM69),2)</f>
        <v>239543.75</v>
      </c>
      <c r="CB71" s="3">
        <f>ROUND(SUMIF(AA24:AA69,"=16481626",GN24:GN69),2)</f>
        <v>239543.75</v>
      </c>
      <c r="CC71" s="3">
        <f>ROUND(SUMIF(AA24:AA69,"=16481626",GO24:GO69),2)</f>
        <v>0</v>
      </c>
      <c r="CD71" s="3">
        <f>ROUND(SUMIF(AA24:AA69,"=16481626",GP24:GP69),2)</f>
        <v>0</v>
      </c>
      <c r="CE71" s="3">
        <f>AC71-BX71</f>
        <v>228447.37</v>
      </c>
      <c r="CF71" s="3">
        <f>AC71-BY71</f>
        <v>228447.37</v>
      </c>
      <c r="CG71" s="3">
        <f>BX71-BZ71</f>
        <v>0</v>
      </c>
      <c r="CH71" s="3">
        <f>AC71-BX71-BY71+BZ71</f>
        <v>228447.37</v>
      </c>
      <c r="CI71" s="3">
        <f>BY71-BZ71</f>
        <v>0</v>
      </c>
      <c r="CJ71" s="3">
        <f>ROUND(SUMIF(AA24:AA69,"=16481626",GX24:GX69),2)</f>
        <v>0</v>
      </c>
      <c r="CK71" s="3">
        <f>ROUND(SUMIF(AA24:AA69,"=16481626",GY24:GY69),2)</f>
        <v>0</v>
      </c>
      <c r="CL71" s="3">
        <f>ROUND(SUMIF(AA24:AA69,"=16481626",GZ24:GZ69),2)</f>
        <v>0</v>
      </c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4">
        <f t="shared" ref="DG71:DL71" si="55">ROUND(DT71,2)</f>
        <v>1395659.44</v>
      </c>
      <c r="DH71" s="4">
        <f t="shared" si="55"/>
        <v>1368399.65</v>
      </c>
      <c r="DI71" s="4">
        <f t="shared" si="55"/>
        <v>3172.13</v>
      </c>
      <c r="DJ71" s="4">
        <f t="shared" si="55"/>
        <v>986.45</v>
      </c>
      <c r="DK71" s="4">
        <f t="shared" si="55"/>
        <v>24087.66</v>
      </c>
      <c r="DL71" s="4">
        <f t="shared" si="55"/>
        <v>0</v>
      </c>
      <c r="DM71" s="4">
        <f>DZ71</f>
        <v>474.07652999999999</v>
      </c>
      <c r="DN71" s="4">
        <f>EA71</f>
        <v>12.734423999999997</v>
      </c>
      <c r="DO71" s="4">
        <f>ROUND(EB71,2)</f>
        <v>0</v>
      </c>
      <c r="DP71" s="4">
        <f>ROUND(EC71,2)</f>
        <v>24207.3</v>
      </c>
      <c r="DQ71" s="4">
        <f>ROUND(ED71,2)</f>
        <v>13953.36</v>
      </c>
      <c r="DR71" s="4"/>
      <c r="DS71" s="4"/>
      <c r="DT71" s="4">
        <f>ROUND(SUMIF(AA24:AA69,"=16481627",O24:O69),2)</f>
        <v>1395659.44</v>
      </c>
      <c r="DU71" s="4">
        <f>ROUND(SUMIF(AA24:AA69,"=16481627",P24:P69),2)</f>
        <v>1368399.65</v>
      </c>
      <c r="DV71" s="4">
        <f>ROUND(SUMIF(AA24:AA69,"=16481627",Q24:Q69),2)</f>
        <v>3172.13</v>
      </c>
      <c r="DW71" s="4">
        <f>ROUND(SUMIF(AA24:AA69,"=16481627",R24:R69),2)</f>
        <v>986.45</v>
      </c>
      <c r="DX71" s="4">
        <f>ROUND(SUMIF(AA24:AA69,"=16481627",S24:S69),2)</f>
        <v>24087.66</v>
      </c>
      <c r="DY71" s="4">
        <f>ROUND(SUMIF(AA24:AA69,"=16481627",T24:T69),2)</f>
        <v>0</v>
      </c>
      <c r="DZ71" s="4">
        <f>SUMIF(AA24:AA69,"=16481627",U24:U69)</f>
        <v>474.07652999999999</v>
      </c>
      <c r="EA71" s="4">
        <f>SUMIF(AA24:AA69,"=16481627",V24:V69)</f>
        <v>12.734423999999997</v>
      </c>
      <c r="EB71" s="4">
        <f>ROUND(SUMIF(AA24:AA69,"=16481627",W24:W69),2)</f>
        <v>0</v>
      </c>
      <c r="EC71" s="4">
        <f>ROUND(SUMIF(AA24:AA69,"=16481627",X24:X69),2)</f>
        <v>24207.3</v>
      </c>
      <c r="ED71" s="4">
        <f>ROUND(SUMIF(AA24:AA69,"=16481627",Y24:Y69),2)</f>
        <v>13953.36</v>
      </c>
      <c r="EE71" s="4"/>
      <c r="EF71" s="4"/>
      <c r="EG71" s="4">
        <f t="shared" ref="EG71:EU71" si="56">ROUND(FP71,2)</f>
        <v>0</v>
      </c>
      <c r="EH71" s="4">
        <f t="shared" si="56"/>
        <v>0</v>
      </c>
      <c r="EI71" s="4">
        <f t="shared" si="56"/>
        <v>0</v>
      </c>
      <c r="EJ71" s="4">
        <f t="shared" si="56"/>
        <v>1434866.65</v>
      </c>
      <c r="EK71" s="4">
        <f t="shared" si="56"/>
        <v>1434866.65</v>
      </c>
      <c r="EL71" s="4">
        <f t="shared" si="56"/>
        <v>0</v>
      </c>
      <c r="EM71" s="4">
        <f t="shared" si="56"/>
        <v>0</v>
      </c>
      <c r="EN71" s="4">
        <f t="shared" si="56"/>
        <v>1368399.65</v>
      </c>
      <c r="EO71" s="4">
        <f t="shared" si="56"/>
        <v>1368399.65</v>
      </c>
      <c r="EP71" s="4">
        <f t="shared" si="56"/>
        <v>0</v>
      </c>
      <c r="EQ71" s="4">
        <f t="shared" si="56"/>
        <v>1368399.65</v>
      </c>
      <c r="ER71" s="4">
        <f t="shared" si="56"/>
        <v>0</v>
      </c>
      <c r="ES71" s="4">
        <f t="shared" si="56"/>
        <v>0</v>
      </c>
      <c r="ET71" s="4">
        <f t="shared" si="56"/>
        <v>0</v>
      </c>
      <c r="EU71" s="4">
        <f t="shared" si="56"/>
        <v>0</v>
      </c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>
        <f>ROUND(SUMIF(AA24:AA69,"=16481627",FQ24:FQ69),2)</f>
        <v>0</v>
      </c>
      <c r="FQ71" s="4">
        <f>ROUND(SUMIF(AA24:AA69,"=16481627",FR24:FR69),2)</f>
        <v>0</v>
      </c>
      <c r="FR71" s="4">
        <f>ROUND(SUMIF(AA24:AA69,"=16481627",GL24:GL69),2)</f>
        <v>0</v>
      </c>
      <c r="FS71" s="4">
        <f>ROUND(SUMIF(AA24:AA69,"=16481627",GM24:GM69),2)</f>
        <v>1434866.65</v>
      </c>
      <c r="FT71" s="4">
        <f>ROUND(SUMIF(AA24:AA69,"=16481627",GN24:GN69),2)</f>
        <v>1434866.65</v>
      </c>
      <c r="FU71" s="4">
        <f>ROUND(SUMIF(AA24:AA69,"=16481627",GO24:GO69),2)</f>
        <v>0</v>
      </c>
      <c r="FV71" s="4">
        <f>ROUND(SUMIF(AA24:AA69,"=16481627",GP24:GP69),2)</f>
        <v>0</v>
      </c>
      <c r="FW71" s="4">
        <f>DU71-FP71</f>
        <v>1368399.65</v>
      </c>
      <c r="FX71" s="4">
        <f>DU71-FQ71</f>
        <v>1368399.65</v>
      </c>
      <c r="FY71" s="4">
        <f>FP71-FR71</f>
        <v>0</v>
      </c>
      <c r="FZ71" s="4">
        <f>DU71-FP71-FQ71+FR71</f>
        <v>1368399.65</v>
      </c>
      <c r="GA71" s="4">
        <f>FQ71-FR71</f>
        <v>0</v>
      </c>
      <c r="GB71" s="4">
        <f>ROUND(SUMIF(AA24:AA69,"=16481627",GX24:GX69),2)</f>
        <v>0</v>
      </c>
      <c r="GC71" s="4">
        <f>ROUND(SUMIF(AA24:AA69,"=16481627",GY24:GY69),2)</f>
        <v>0</v>
      </c>
      <c r="GD71" s="4">
        <f>ROUND(SUMIF(AA24:AA69,"=16481627",GZ24:GZ69),2)</f>
        <v>0</v>
      </c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>
        <v>0</v>
      </c>
    </row>
    <row r="73" spans="1:255" x14ac:dyDescent="0.2">
      <c r="A73" s="5">
        <v>50</v>
      </c>
      <c r="B73" s="5">
        <v>0</v>
      </c>
      <c r="C73" s="5">
        <v>0</v>
      </c>
      <c r="D73" s="5">
        <v>1</v>
      </c>
      <c r="E73" s="5">
        <v>0</v>
      </c>
      <c r="F73" s="5">
        <f>ROUND(Source!O71,O73)</f>
        <v>232998.25</v>
      </c>
      <c r="G73" s="5" t="s">
        <v>123</v>
      </c>
      <c r="H73" s="5" t="s">
        <v>124</v>
      </c>
      <c r="I73" s="5"/>
      <c r="J73" s="5"/>
      <c r="K73" s="5">
        <v>201</v>
      </c>
      <c r="L73" s="5">
        <v>1</v>
      </c>
      <c r="M73" s="5">
        <v>3</v>
      </c>
      <c r="N73" s="5" t="s">
        <v>6</v>
      </c>
      <c r="O73" s="5">
        <v>2</v>
      </c>
      <c r="P73" s="5">
        <f>ROUND(Source!DG71,O73)</f>
        <v>1395659.44</v>
      </c>
      <c r="Q73" s="5"/>
      <c r="R73" s="5"/>
      <c r="S73" s="5"/>
      <c r="T73" s="5"/>
      <c r="U73" s="5"/>
      <c r="V73" s="5"/>
      <c r="W73" s="5"/>
    </row>
    <row r="74" spans="1:255" x14ac:dyDescent="0.2">
      <c r="A74" s="5">
        <v>50</v>
      </c>
      <c r="B74" s="5">
        <v>0</v>
      </c>
      <c r="C74" s="5">
        <v>0</v>
      </c>
      <c r="D74" s="5">
        <v>1</v>
      </c>
      <c r="E74" s="5">
        <v>202</v>
      </c>
      <c r="F74" s="5">
        <f>ROUND(Source!P71,O74)</f>
        <v>228447.37</v>
      </c>
      <c r="G74" s="5" t="s">
        <v>125</v>
      </c>
      <c r="H74" s="5" t="s">
        <v>126</v>
      </c>
      <c r="I74" s="5"/>
      <c r="J74" s="5"/>
      <c r="K74" s="5">
        <v>202</v>
      </c>
      <c r="L74" s="5">
        <v>2</v>
      </c>
      <c r="M74" s="5">
        <v>3</v>
      </c>
      <c r="N74" s="5" t="s">
        <v>6</v>
      </c>
      <c r="O74" s="5">
        <v>2</v>
      </c>
      <c r="P74" s="5">
        <f>ROUND(Source!DH71,O74)</f>
        <v>1368399.65</v>
      </c>
      <c r="Q74" s="5"/>
      <c r="R74" s="5"/>
      <c r="S74" s="5"/>
      <c r="T74" s="5"/>
      <c r="U74" s="5"/>
      <c r="V74" s="5"/>
      <c r="W74" s="5"/>
    </row>
    <row r="75" spans="1:255" x14ac:dyDescent="0.2">
      <c r="A75" s="5">
        <v>50</v>
      </c>
      <c r="B75" s="5">
        <v>0</v>
      </c>
      <c r="C75" s="5">
        <v>0</v>
      </c>
      <c r="D75" s="5">
        <v>1</v>
      </c>
      <c r="E75" s="5">
        <v>222</v>
      </c>
      <c r="F75" s="5">
        <f>ROUND(Source!AO71,O75)</f>
        <v>0</v>
      </c>
      <c r="G75" s="5" t="s">
        <v>127</v>
      </c>
      <c r="H75" s="5" t="s">
        <v>128</v>
      </c>
      <c r="I75" s="5"/>
      <c r="J75" s="5"/>
      <c r="K75" s="5">
        <v>222</v>
      </c>
      <c r="L75" s="5">
        <v>3</v>
      </c>
      <c r="M75" s="5">
        <v>3</v>
      </c>
      <c r="N75" s="5" t="s">
        <v>6</v>
      </c>
      <c r="O75" s="5">
        <v>2</v>
      </c>
      <c r="P75" s="5">
        <f>ROUND(Source!EG71,O75)</f>
        <v>0</v>
      </c>
      <c r="Q75" s="5"/>
      <c r="R75" s="5"/>
      <c r="S75" s="5"/>
      <c r="T75" s="5"/>
      <c r="U75" s="5"/>
      <c r="V75" s="5"/>
      <c r="W75" s="5"/>
    </row>
    <row r="76" spans="1:255" x14ac:dyDescent="0.2">
      <c r="A76" s="5">
        <v>50</v>
      </c>
      <c r="B76" s="5">
        <v>0</v>
      </c>
      <c r="C76" s="5">
        <v>0</v>
      </c>
      <c r="D76" s="5">
        <v>1</v>
      </c>
      <c r="E76" s="5">
        <v>225</v>
      </c>
      <c r="F76" s="5">
        <f>ROUND(Source!AV71,O76)</f>
        <v>228447.37</v>
      </c>
      <c r="G76" s="5" t="s">
        <v>129</v>
      </c>
      <c r="H76" s="5" t="s">
        <v>130</v>
      </c>
      <c r="I76" s="5"/>
      <c r="J76" s="5"/>
      <c r="K76" s="5">
        <v>225</v>
      </c>
      <c r="L76" s="5">
        <v>4</v>
      </c>
      <c r="M76" s="5">
        <v>3</v>
      </c>
      <c r="N76" s="5" t="s">
        <v>6</v>
      </c>
      <c r="O76" s="5">
        <v>2</v>
      </c>
      <c r="P76" s="5">
        <f>ROUND(Source!EN71,O76)</f>
        <v>1368399.65</v>
      </c>
      <c r="Q76" s="5"/>
      <c r="R76" s="5"/>
      <c r="S76" s="5"/>
      <c r="T76" s="5"/>
      <c r="U76" s="5"/>
      <c r="V76" s="5"/>
      <c r="W76" s="5"/>
    </row>
    <row r="77" spans="1:255" x14ac:dyDescent="0.2">
      <c r="A77" s="5">
        <v>50</v>
      </c>
      <c r="B77" s="5">
        <v>0</v>
      </c>
      <c r="C77" s="5">
        <v>0</v>
      </c>
      <c r="D77" s="5">
        <v>1</v>
      </c>
      <c r="E77" s="5">
        <v>226</v>
      </c>
      <c r="F77" s="5">
        <f>ROUND(Source!AW71,O77)</f>
        <v>228447.37</v>
      </c>
      <c r="G77" s="5" t="s">
        <v>131</v>
      </c>
      <c r="H77" s="5" t="s">
        <v>132</v>
      </c>
      <c r="I77" s="5"/>
      <c r="J77" s="5"/>
      <c r="K77" s="5">
        <v>226</v>
      </c>
      <c r="L77" s="5">
        <v>5</v>
      </c>
      <c r="M77" s="5">
        <v>3</v>
      </c>
      <c r="N77" s="5" t="s">
        <v>6</v>
      </c>
      <c r="O77" s="5">
        <v>2</v>
      </c>
      <c r="P77" s="5">
        <f>ROUND(Source!EO71,O77)</f>
        <v>1368399.65</v>
      </c>
      <c r="Q77" s="5"/>
      <c r="R77" s="5"/>
      <c r="S77" s="5"/>
      <c r="T77" s="5"/>
      <c r="U77" s="5"/>
      <c r="V77" s="5"/>
      <c r="W77" s="5"/>
    </row>
    <row r="78" spans="1:255" x14ac:dyDescent="0.2">
      <c r="A78" s="5">
        <v>50</v>
      </c>
      <c r="B78" s="5">
        <v>0</v>
      </c>
      <c r="C78" s="5">
        <v>0</v>
      </c>
      <c r="D78" s="5">
        <v>1</v>
      </c>
      <c r="E78" s="5">
        <v>227</v>
      </c>
      <c r="F78" s="5">
        <f>ROUND(Source!AX71,O78)</f>
        <v>0</v>
      </c>
      <c r="G78" s="5" t="s">
        <v>133</v>
      </c>
      <c r="H78" s="5" t="s">
        <v>134</v>
      </c>
      <c r="I78" s="5"/>
      <c r="J78" s="5"/>
      <c r="K78" s="5">
        <v>227</v>
      </c>
      <c r="L78" s="5">
        <v>6</v>
      </c>
      <c r="M78" s="5">
        <v>3</v>
      </c>
      <c r="N78" s="5" t="s">
        <v>6</v>
      </c>
      <c r="O78" s="5">
        <v>2</v>
      </c>
      <c r="P78" s="5">
        <f>ROUND(Source!EP71,O78)</f>
        <v>0</v>
      </c>
      <c r="Q78" s="5"/>
      <c r="R78" s="5"/>
      <c r="S78" s="5"/>
      <c r="T78" s="5"/>
      <c r="U78" s="5"/>
      <c r="V78" s="5"/>
      <c r="W78" s="5"/>
    </row>
    <row r="79" spans="1:255" x14ac:dyDescent="0.2">
      <c r="A79" s="5">
        <v>50</v>
      </c>
      <c r="B79" s="5">
        <v>0</v>
      </c>
      <c r="C79" s="5">
        <v>0</v>
      </c>
      <c r="D79" s="5">
        <v>1</v>
      </c>
      <c r="E79" s="5">
        <v>228</v>
      </c>
      <c r="F79" s="5">
        <f>ROUND(Source!AY71,O79)</f>
        <v>228447.37</v>
      </c>
      <c r="G79" s="5" t="s">
        <v>135</v>
      </c>
      <c r="H79" s="5" t="s">
        <v>136</v>
      </c>
      <c r="I79" s="5"/>
      <c r="J79" s="5"/>
      <c r="K79" s="5">
        <v>228</v>
      </c>
      <c r="L79" s="5">
        <v>7</v>
      </c>
      <c r="M79" s="5">
        <v>3</v>
      </c>
      <c r="N79" s="5" t="s">
        <v>6</v>
      </c>
      <c r="O79" s="5">
        <v>2</v>
      </c>
      <c r="P79" s="5">
        <f>ROUND(Source!EQ71,O79)</f>
        <v>1368399.65</v>
      </c>
      <c r="Q79" s="5"/>
      <c r="R79" s="5"/>
      <c r="S79" s="5"/>
      <c r="T79" s="5"/>
      <c r="U79" s="5"/>
      <c r="V79" s="5"/>
      <c r="W79" s="5"/>
    </row>
    <row r="80" spans="1:255" x14ac:dyDescent="0.2">
      <c r="A80" s="5">
        <v>50</v>
      </c>
      <c r="B80" s="5">
        <v>0</v>
      </c>
      <c r="C80" s="5">
        <v>0</v>
      </c>
      <c r="D80" s="5">
        <v>1</v>
      </c>
      <c r="E80" s="5">
        <v>216</v>
      </c>
      <c r="F80" s="5">
        <f>ROUND(Source!AP71,O80)</f>
        <v>0</v>
      </c>
      <c r="G80" s="5" t="s">
        <v>137</v>
      </c>
      <c r="H80" s="5" t="s">
        <v>138</v>
      </c>
      <c r="I80" s="5"/>
      <c r="J80" s="5"/>
      <c r="K80" s="5">
        <v>216</v>
      </c>
      <c r="L80" s="5">
        <v>8</v>
      </c>
      <c r="M80" s="5">
        <v>3</v>
      </c>
      <c r="N80" s="5" t="s">
        <v>6</v>
      </c>
      <c r="O80" s="5">
        <v>2</v>
      </c>
      <c r="P80" s="5">
        <f>ROUND(Source!EH71,O80)</f>
        <v>0</v>
      </c>
      <c r="Q80" s="5"/>
      <c r="R80" s="5"/>
      <c r="S80" s="5"/>
      <c r="T80" s="5"/>
      <c r="U80" s="5"/>
      <c r="V80" s="5"/>
      <c r="W80" s="5"/>
    </row>
    <row r="81" spans="1:23" x14ac:dyDescent="0.2">
      <c r="A81" s="5">
        <v>50</v>
      </c>
      <c r="B81" s="5">
        <v>0</v>
      </c>
      <c r="C81" s="5">
        <v>0</v>
      </c>
      <c r="D81" s="5">
        <v>1</v>
      </c>
      <c r="E81" s="5">
        <v>223</v>
      </c>
      <c r="F81" s="5">
        <f>ROUND(Source!AQ71,O81)</f>
        <v>0</v>
      </c>
      <c r="G81" s="5" t="s">
        <v>139</v>
      </c>
      <c r="H81" s="5" t="s">
        <v>140</v>
      </c>
      <c r="I81" s="5"/>
      <c r="J81" s="5"/>
      <c r="K81" s="5">
        <v>223</v>
      </c>
      <c r="L81" s="5">
        <v>9</v>
      </c>
      <c r="M81" s="5">
        <v>3</v>
      </c>
      <c r="N81" s="5" t="s">
        <v>6</v>
      </c>
      <c r="O81" s="5">
        <v>2</v>
      </c>
      <c r="P81" s="5">
        <f>ROUND(Source!EI71,O81)</f>
        <v>0</v>
      </c>
      <c r="Q81" s="5"/>
      <c r="R81" s="5"/>
      <c r="S81" s="5"/>
      <c r="T81" s="5"/>
      <c r="U81" s="5"/>
      <c r="V81" s="5"/>
      <c r="W81" s="5"/>
    </row>
    <row r="82" spans="1:23" x14ac:dyDescent="0.2">
      <c r="A82" s="5">
        <v>50</v>
      </c>
      <c r="B82" s="5">
        <v>0</v>
      </c>
      <c r="C82" s="5">
        <v>0</v>
      </c>
      <c r="D82" s="5">
        <v>1</v>
      </c>
      <c r="E82" s="5">
        <v>229</v>
      </c>
      <c r="F82" s="5">
        <f>ROUND(Source!AZ71,O82)</f>
        <v>0</v>
      </c>
      <c r="G82" s="5" t="s">
        <v>141</v>
      </c>
      <c r="H82" s="5" t="s">
        <v>142</v>
      </c>
      <c r="I82" s="5"/>
      <c r="J82" s="5"/>
      <c r="K82" s="5">
        <v>229</v>
      </c>
      <c r="L82" s="5">
        <v>10</v>
      </c>
      <c r="M82" s="5">
        <v>3</v>
      </c>
      <c r="N82" s="5" t="s">
        <v>6</v>
      </c>
      <c r="O82" s="5">
        <v>2</v>
      </c>
      <c r="P82" s="5">
        <f>ROUND(Source!ER71,O82)</f>
        <v>0</v>
      </c>
      <c r="Q82" s="5"/>
      <c r="R82" s="5"/>
      <c r="S82" s="5"/>
      <c r="T82" s="5"/>
      <c r="U82" s="5"/>
      <c r="V82" s="5"/>
      <c r="W82" s="5"/>
    </row>
    <row r="83" spans="1:23" x14ac:dyDescent="0.2">
      <c r="A83" s="5">
        <v>50</v>
      </c>
      <c r="B83" s="5">
        <v>0</v>
      </c>
      <c r="C83" s="5">
        <v>0</v>
      </c>
      <c r="D83" s="5">
        <v>1</v>
      </c>
      <c r="E83" s="5">
        <v>203</v>
      </c>
      <c r="F83" s="5">
        <f>ROUND(Source!Q71,O83)</f>
        <v>529.55999999999995</v>
      </c>
      <c r="G83" s="5" t="s">
        <v>143</v>
      </c>
      <c r="H83" s="5" t="s">
        <v>144</v>
      </c>
      <c r="I83" s="5"/>
      <c r="J83" s="5"/>
      <c r="K83" s="5">
        <v>203</v>
      </c>
      <c r="L83" s="5">
        <v>11</v>
      </c>
      <c r="M83" s="5">
        <v>3</v>
      </c>
      <c r="N83" s="5" t="s">
        <v>6</v>
      </c>
      <c r="O83" s="5">
        <v>2</v>
      </c>
      <c r="P83" s="5">
        <f>ROUND(Source!DI71,O83)</f>
        <v>3172.13</v>
      </c>
      <c r="Q83" s="5"/>
      <c r="R83" s="5"/>
      <c r="S83" s="5"/>
      <c r="T83" s="5"/>
      <c r="U83" s="5"/>
      <c r="V83" s="5"/>
      <c r="W83" s="5"/>
    </row>
    <row r="84" spans="1:23" x14ac:dyDescent="0.2">
      <c r="A84" s="5">
        <v>50</v>
      </c>
      <c r="B84" s="5">
        <v>0</v>
      </c>
      <c r="C84" s="5">
        <v>0</v>
      </c>
      <c r="D84" s="5">
        <v>1</v>
      </c>
      <c r="E84" s="5">
        <v>231</v>
      </c>
      <c r="F84" s="5">
        <f>ROUND(Source!BB71,O84)</f>
        <v>0</v>
      </c>
      <c r="G84" s="5" t="s">
        <v>145</v>
      </c>
      <c r="H84" s="5" t="s">
        <v>146</v>
      </c>
      <c r="I84" s="5"/>
      <c r="J84" s="5"/>
      <c r="K84" s="5">
        <v>231</v>
      </c>
      <c r="L84" s="5">
        <v>12</v>
      </c>
      <c r="M84" s="5">
        <v>3</v>
      </c>
      <c r="N84" s="5" t="s">
        <v>6</v>
      </c>
      <c r="O84" s="5">
        <v>2</v>
      </c>
      <c r="P84" s="5">
        <f>ROUND(Source!ET71,O84)</f>
        <v>0</v>
      </c>
      <c r="Q84" s="5"/>
      <c r="R84" s="5"/>
      <c r="S84" s="5"/>
      <c r="T84" s="5"/>
      <c r="U84" s="5"/>
      <c r="V84" s="5"/>
      <c r="W84" s="5"/>
    </row>
    <row r="85" spans="1:23" x14ac:dyDescent="0.2">
      <c r="A85" s="5">
        <v>50</v>
      </c>
      <c r="B85" s="5">
        <v>0</v>
      </c>
      <c r="C85" s="5">
        <v>0</v>
      </c>
      <c r="D85" s="5">
        <v>1</v>
      </c>
      <c r="E85" s="5">
        <v>204</v>
      </c>
      <c r="F85" s="5">
        <f>ROUND(Source!R71,O85)</f>
        <v>164.69</v>
      </c>
      <c r="G85" s="5" t="s">
        <v>147</v>
      </c>
      <c r="H85" s="5" t="s">
        <v>148</v>
      </c>
      <c r="I85" s="5"/>
      <c r="J85" s="5"/>
      <c r="K85" s="5">
        <v>204</v>
      </c>
      <c r="L85" s="5">
        <v>13</v>
      </c>
      <c r="M85" s="5">
        <v>3</v>
      </c>
      <c r="N85" s="5" t="s">
        <v>6</v>
      </c>
      <c r="O85" s="5">
        <v>2</v>
      </c>
      <c r="P85" s="5">
        <f>ROUND(Source!DJ71,O85)</f>
        <v>986.45</v>
      </c>
      <c r="Q85" s="5"/>
      <c r="R85" s="5"/>
      <c r="S85" s="5"/>
      <c r="T85" s="5"/>
      <c r="U85" s="5"/>
      <c r="V85" s="5"/>
      <c r="W85" s="5"/>
    </row>
    <row r="86" spans="1:23" x14ac:dyDescent="0.2">
      <c r="A86" s="5">
        <v>50</v>
      </c>
      <c r="B86" s="5">
        <v>0</v>
      </c>
      <c r="C86" s="5">
        <v>0</v>
      </c>
      <c r="D86" s="5">
        <v>1</v>
      </c>
      <c r="E86" s="5">
        <v>205</v>
      </c>
      <c r="F86" s="5">
        <f>ROUND(Source!S71,O86)</f>
        <v>4021.32</v>
      </c>
      <c r="G86" s="5" t="s">
        <v>149</v>
      </c>
      <c r="H86" s="5" t="s">
        <v>150</v>
      </c>
      <c r="I86" s="5"/>
      <c r="J86" s="5"/>
      <c r="K86" s="5">
        <v>205</v>
      </c>
      <c r="L86" s="5">
        <v>14</v>
      </c>
      <c r="M86" s="5">
        <v>3</v>
      </c>
      <c r="N86" s="5" t="s">
        <v>6</v>
      </c>
      <c r="O86" s="5">
        <v>2</v>
      </c>
      <c r="P86" s="5">
        <f>ROUND(Source!DK71,O86)</f>
        <v>24087.66</v>
      </c>
      <c r="Q86" s="5"/>
      <c r="R86" s="5"/>
      <c r="S86" s="5"/>
      <c r="T86" s="5"/>
      <c r="U86" s="5"/>
      <c r="V86" s="5"/>
      <c r="W86" s="5"/>
    </row>
    <row r="87" spans="1:23" x14ac:dyDescent="0.2">
      <c r="A87" s="5">
        <v>50</v>
      </c>
      <c r="B87" s="5">
        <v>0</v>
      </c>
      <c r="C87" s="5">
        <v>0</v>
      </c>
      <c r="D87" s="5">
        <v>1</v>
      </c>
      <c r="E87" s="5">
        <v>232</v>
      </c>
      <c r="F87" s="5">
        <f>ROUND(Source!BC71,O87)</f>
        <v>0</v>
      </c>
      <c r="G87" s="5" t="s">
        <v>151</v>
      </c>
      <c r="H87" s="5" t="s">
        <v>152</v>
      </c>
      <c r="I87" s="5"/>
      <c r="J87" s="5"/>
      <c r="K87" s="5">
        <v>232</v>
      </c>
      <c r="L87" s="5">
        <v>15</v>
      </c>
      <c r="M87" s="5">
        <v>3</v>
      </c>
      <c r="N87" s="5" t="s">
        <v>6</v>
      </c>
      <c r="O87" s="5">
        <v>2</v>
      </c>
      <c r="P87" s="5">
        <f>ROUND(Source!EU71,O87)</f>
        <v>0</v>
      </c>
      <c r="Q87" s="5"/>
      <c r="R87" s="5"/>
      <c r="S87" s="5"/>
      <c r="T87" s="5"/>
      <c r="U87" s="5"/>
      <c r="V87" s="5"/>
      <c r="W87" s="5"/>
    </row>
    <row r="88" spans="1:23" x14ac:dyDescent="0.2">
      <c r="A88" s="5">
        <v>50</v>
      </c>
      <c r="B88" s="5">
        <v>0</v>
      </c>
      <c r="C88" s="5">
        <v>0</v>
      </c>
      <c r="D88" s="5">
        <v>1</v>
      </c>
      <c r="E88" s="5">
        <v>214</v>
      </c>
      <c r="F88" s="5">
        <f>ROUND(Source!AS71,O88)</f>
        <v>239543.75</v>
      </c>
      <c r="G88" s="5" t="s">
        <v>153</v>
      </c>
      <c r="H88" s="5" t="s">
        <v>154</v>
      </c>
      <c r="I88" s="5"/>
      <c r="J88" s="5"/>
      <c r="K88" s="5">
        <v>214</v>
      </c>
      <c r="L88" s="5">
        <v>16</v>
      </c>
      <c r="M88" s="5">
        <v>3</v>
      </c>
      <c r="N88" s="5" t="s">
        <v>6</v>
      </c>
      <c r="O88" s="5">
        <v>2</v>
      </c>
      <c r="P88" s="5">
        <f>ROUND(Source!EK71,O88)</f>
        <v>1434866.65</v>
      </c>
      <c r="Q88" s="5"/>
      <c r="R88" s="5"/>
      <c r="S88" s="5"/>
      <c r="T88" s="5"/>
      <c r="U88" s="5"/>
      <c r="V88" s="5"/>
      <c r="W88" s="5"/>
    </row>
    <row r="89" spans="1:23" x14ac:dyDescent="0.2">
      <c r="A89" s="5">
        <v>50</v>
      </c>
      <c r="B89" s="5">
        <v>0</v>
      </c>
      <c r="C89" s="5">
        <v>0</v>
      </c>
      <c r="D89" s="5">
        <v>1</v>
      </c>
      <c r="E89" s="5">
        <v>215</v>
      </c>
      <c r="F89" s="5">
        <f>ROUND(Source!AT71,O89)</f>
        <v>0</v>
      </c>
      <c r="G89" s="5" t="s">
        <v>155</v>
      </c>
      <c r="H89" s="5" t="s">
        <v>156</v>
      </c>
      <c r="I89" s="5"/>
      <c r="J89" s="5"/>
      <c r="K89" s="5">
        <v>215</v>
      </c>
      <c r="L89" s="5">
        <v>17</v>
      </c>
      <c r="M89" s="5">
        <v>3</v>
      </c>
      <c r="N89" s="5" t="s">
        <v>6</v>
      </c>
      <c r="O89" s="5">
        <v>2</v>
      </c>
      <c r="P89" s="5">
        <f>ROUND(Source!EL71,O89)</f>
        <v>0</v>
      </c>
      <c r="Q89" s="5"/>
      <c r="R89" s="5"/>
      <c r="S89" s="5"/>
      <c r="T89" s="5"/>
      <c r="U89" s="5"/>
      <c r="V89" s="5"/>
      <c r="W89" s="5"/>
    </row>
    <row r="90" spans="1:23" x14ac:dyDescent="0.2">
      <c r="A90" s="5">
        <v>50</v>
      </c>
      <c r="B90" s="5">
        <v>0</v>
      </c>
      <c r="C90" s="5">
        <v>0</v>
      </c>
      <c r="D90" s="5">
        <v>1</v>
      </c>
      <c r="E90" s="5">
        <v>217</v>
      </c>
      <c r="F90" s="5">
        <f>ROUND(Source!AU71,O90)</f>
        <v>0</v>
      </c>
      <c r="G90" s="5" t="s">
        <v>157</v>
      </c>
      <c r="H90" s="5" t="s">
        <v>158</v>
      </c>
      <c r="I90" s="5"/>
      <c r="J90" s="5"/>
      <c r="K90" s="5">
        <v>217</v>
      </c>
      <c r="L90" s="5">
        <v>18</v>
      </c>
      <c r="M90" s="5">
        <v>3</v>
      </c>
      <c r="N90" s="5" t="s">
        <v>6</v>
      </c>
      <c r="O90" s="5">
        <v>2</v>
      </c>
      <c r="P90" s="5">
        <f>ROUND(Source!EM71,O90)</f>
        <v>0</v>
      </c>
      <c r="Q90" s="5"/>
      <c r="R90" s="5"/>
      <c r="S90" s="5"/>
      <c r="T90" s="5"/>
      <c r="U90" s="5"/>
      <c r="V90" s="5"/>
      <c r="W90" s="5"/>
    </row>
    <row r="91" spans="1:23" x14ac:dyDescent="0.2">
      <c r="A91" s="5">
        <v>50</v>
      </c>
      <c r="B91" s="5">
        <v>0</v>
      </c>
      <c r="C91" s="5">
        <v>0</v>
      </c>
      <c r="D91" s="5">
        <v>1</v>
      </c>
      <c r="E91" s="5">
        <v>230</v>
      </c>
      <c r="F91" s="5">
        <f>ROUND(Source!BA71,O91)</f>
        <v>0</v>
      </c>
      <c r="G91" s="5" t="s">
        <v>159</v>
      </c>
      <c r="H91" s="5" t="s">
        <v>160</v>
      </c>
      <c r="I91" s="5"/>
      <c r="J91" s="5"/>
      <c r="K91" s="5">
        <v>230</v>
      </c>
      <c r="L91" s="5">
        <v>19</v>
      </c>
      <c r="M91" s="5">
        <v>3</v>
      </c>
      <c r="N91" s="5" t="s">
        <v>6</v>
      </c>
      <c r="O91" s="5">
        <v>2</v>
      </c>
      <c r="P91" s="5">
        <f>ROUND(Source!ES71,O91)</f>
        <v>0</v>
      </c>
      <c r="Q91" s="5"/>
      <c r="R91" s="5"/>
      <c r="S91" s="5"/>
      <c r="T91" s="5"/>
      <c r="U91" s="5"/>
      <c r="V91" s="5"/>
      <c r="W91" s="5"/>
    </row>
    <row r="92" spans="1:23" x14ac:dyDescent="0.2">
      <c r="A92" s="5">
        <v>50</v>
      </c>
      <c r="B92" s="5">
        <v>0</v>
      </c>
      <c r="C92" s="5">
        <v>0</v>
      </c>
      <c r="D92" s="5">
        <v>1</v>
      </c>
      <c r="E92" s="5">
        <v>206</v>
      </c>
      <c r="F92" s="5">
        <f>ROUND(Source!T71,O92)</f>
        <v>0</v>
      </c>
      <c r="G92" s="5" t="s">
        <v>161</v>
      </c>
      <c r="H92" s="5" t="s">
        <v>162</v>
      </c>
      <c r="I92" s="5"/>
      <c r="J92" s="5"/>
      <c r="K92" s="5">
        <v>206</v>
      </c>
      <c r="L92" s="5">
        <v>20</v>
      </c>
      <c r="M92" s="5">
        <v>3</v>
      </c>
      <c r="N92" s="5" t="s">
        <v>6</v>
      </c>
      <c r="O92" s="5">
        <v>2</v>
      </c>
      <c r="P92" s="5">
        <f>ROUND(Source!DL71,O92)</f>
        <v>0</v>
      </c>
      <c r="Q92" s="5"/>
      <c r="R92" s="5"/>
      <c r="S92" s="5"/>
      <c r="T92" s="5"/>
      <c r="U92" s="5"/>
      <c r="V92" s="5"/>
      <c r="W92" s="5"/>
    </row>
    <row r="93" spans="1:23" x14ac:dyDescent="0.2">
      <c r="A93" s="5">
        <v>50</v>
      </c>
      <c r="B93" s="5">
        <v>0</v>
      </c>
      <c r="C93" s="5">
        <v>0</v>
      </c>
      <c r="D93" s="5">
        <v>1</v>
      </c>
      <c r="E93" s="5">
        <v>207</v>
      </c>
      <c r="F93" s="5">
        <f>Source!U71</f>
        <v>474.07652999999999</v>
      </c>
      <c r="G93" s="5" t="s">
        <v>163</v>
      </c>
      <c r="H93" s="5" t="s">
        <v>164</v>
      </c>
      <c r="I93" s="5"/>
      <c r="J93" s="5"/>
      <c r="K93" s="5">
        <v>207</v>
      </c>
      <c r="L93" s="5">
        <v>21</v>
      </c>
      <c r="M93" s="5">
        <v>3</v>
      </c>
      <c r="N93" s="5" t="s">
        <v>6</v>
      </c>
      <c r="O93" s="5">
        <v>-1</v>
      </c>
      <c r="P93" s="5">
        <f>Source!DM71</f>
        <v>474.07652999999999</v>
      </c>
      <c r="Q93" s="5"/>
      <c r="R93" s="5"/>
      <c r="S93" s="5"/>
      <c r="T93" s="5"/>
      <c r="U93" s="5"/>
      <c r="V93" s="5"/>
      <c r="W93" s="5"/>
    </row>
    <row r="94" spans="1:23" x14ac:dyDescent="0.2">
      <c r="A94" s="5">
        <v>50</v>
      </c>
      <c r="B94" s="5">
        <v>0</v>
      </c>
      <c r="C94" s="5">
        <v>0</v>
      </c>
      <c r="D94" s="5">
        <v>1</v>
      </c>
      <c r="E94" s="5">
        <v>208</v>
      </c>
      <c r="F94" s="5">
        <f>Source!V71</f>
        <v>12.734423999999997</v>
      </c>
      <c r="G94" s="5" t="s">
        <v>165</v>
      </c>
      <c r="H94" s="5" t="s">
        <v>166</v>
      </c>
      <c r="I94" s="5"/>
      <c r="J94" s="5"/>
      <c r="K94" s="5">
        <v>208</v>
      </c>
      <c r="L94" s="5">
        <v>22</v>
      </c>
      <c r="M94" s="5">
        <v>3</v>
      </c>
      <c r="N94" s="5" t="s">
        <v>6</v>
      </c>
      <c r="O94" s="5">
        <v>-1</v>
      </c>
      <c r="P94" s="5">
        <f>Source!DN71</f>
        <v>12.734423999999997</v>
      </c>
      <c r="Q94" s="5"/>
      <c r="R94" s="5"/>
      <c r="S94" s="5"/>
      <c r="T94" s="5"/>
      <c r="U94" s="5"/>
      <c r="V94" s="5"/>
      <c r="W94" s="5"/>
    </row>
    <row r="95" spans="1:23" x14ac:dyDescent="0.2">
      <c r="A95" s="5">
        <v>50</v>
      </c>
      <c r="B95" s="5">
        <v>0</v>
      </c>
      <c r="C95" s="5">
        <v>0</v>
      </c>
      <c r="D95" s="5">
        <v>1</v>
      </c>
      <c r="E95" s="5">
        <v>209</v>
      </c>
      <c r="F95" s="5">
        <f>ROUND(Source!W71,O95)</f>
        <v>0</v>
      </c>
      <c r="G95" s="5" t="s">
        <v>167</v>
      </c>
      <c r="H95" s="5" t="s">
        <v>168</v>
      </c>
      <c r="I95" s="5"/>
      <c r="J95" s="5"/>
      <c r="K95" s="5">
        <v>209</v>
      </c>
      <c r="L95" s="5">
        <v>23</v>
      </c>
      <c r="M95" s="5">
        <v>3</v>
      </c>
      <c r="N95" s="5" t="s">
        <v>6</v>
      </c>
      <c r="O95" s="5">
        <v>2</v>
      </c>
      <c r="P95" s="5">
        <f>ROUND(Source!DO71,O95)</f>
        <v>0</v>
      </c>
      <c r="Q95" s="5"/>
      <c r="R95" s="5"/>
      <c r="S95" s="5"/>
      <c r="T95" s="5"/>
      <c r="U95" s="5"/>
      <c r="V95" s="5"/>
      <c r="W95" s="5"/>
    </row>
    <row r="96" spans="1:23" x14ac:dyDescent="0.2">
      <c r="A96" s="5">
        <v>50</v>
      </c>
      <c r="B96" s="5">
        <v>0</v>
      </c>
      <c r="C96" s="5">
        <v>0</v>
      </c>
      <c r="D96" s="5">
        <v>1</v>
      </c>
      <c r="E96" s="5">
        <v>0</v>
      </c>
      <c r="F96" s="5">
        <f>ROUND(Source!X71,O96)</f>
        <v>4041.31</v>
      </c>
      <c r="G96" s="5" t="s">
        <v>169</v>
      </c>
      <c r="H96" s="5" t="s">
        <v>170</v>
      </c>
      <c r="I96" s="5"/>
      <c r="J96" s="5"/>
      <c r="K96" s="5">
        <v>210</v>
      </c>
      <c r="L96" s="5">
        <v>24</v>
      </c>
      <c r="M96" s="5">
        <v>3</v>
      </c>
      <c r="N96" s="5" t="s">
        <v>6</v>
      </c>
      <c r="O96" s="5">
        <v>2</v>
      </c>
      <c r="P96" s="5">
        <f>ROUND(Source!DP71,O96)</f>
        <v>24207.3</v>
      </c>
      <c r="Q96" s="5"/>
      <c r="R96" s="5"/>
      <c r="S96" s="5"/>
      <c r="T96" s="5"/>
      <c r="U96" s="5"/>
      <c r="V96" s="5"/>
      <c r="W96" s="5"/>
    </row>
    <row r="97" spans="1:206" x14ac:dyDescent="0.2">
      <c r="A97" s="5">
        <v>50</v>
      </c>
      <c r="B97" s="5">
        <v>0</v>
      </c>
      <c r="C97" s="5">
        <v>0</v>
      </c>
      <c r="D97" s="5">
        <v>1</v>
      </c>
      <c r="E97" s="5">
        <v>0</v>
      </c>
      <c r="F97" s="5">
        <f>ROUND(Source!Y71,O97)</f>
        <v>2329.4699999999998</v>
      </c>
      <c r="G97" s="5" t="s">
        <v>171</v>
      </c>
      <c r="H97" s="5" t="s">
        <v>172</v>
      </c>
      <c r="I97" s="5"/>
      <c r="J97" s="5"/>
      <c r="K97" s="5">
        <v>211</v>
      </c>
      <c r="L97" s="5">
        <v>25</v>
      </c>
      <c r="M97" s="5">
        <v>3</v>
      </c>
      <c r="N97" s="5" t="s">
        <v>6</v>
      </c>
      <c r="O97" s="5">
        <v>2</v>
      </c>
      <c r="P97" s="5">
        <f>ROUND(Source!DQ71,O97)</f>
        <v>13953.36</v>
      </c>
      <c r="Q97" s="5"/>
      <c r="R97" s="5"/>
      <c r="S97" s="5"/>
      <c r="T97" s="5"/>
      <c r="U97" s="5"/>
      <c r="V97" s="5"/>
      <c r="W97" s="5"/>
    </row>
    <row r="98" spans="1:206" x14ac:dyDescent="0.2">
      <c r="A98" s="5">
        <v>50</v>
      </c>
      <c r="B98" s="5">
        <v>0</v>
      </c>
      <c r="C98" s="5">
        <v>0</v>
      </c>
      <c r="D98" s="5">
        <v>1</v>
      </c>
      <c r="E98" s="5">
        <v>224</v>
      </c>
      <c r="F98" s="5">
        <f>ROUND(Source!AR71,O98)</f>
        <v>239543.75</v>
      </c>
      <c r="G98" s="5" t="s">
        <v>173</v>
      </c>
      <c r="H98" s="5" t="s">
        <v>174</v>
      </c>
      <c r="I98" s="5"/>
      <c r="J98" s="5"/>
      <c r="K98" s="5">
        <v>224</v>
      </c>
      <c r="L98" s="5">
        <v>26</v>
      </c>
      <c r="M98" s="5">
        <v>3</v>
      </c>
      <c r="N98" s="5" t="s">
        <v>6</v>
      </c>
      <c r="O98" s="5">
        <v>2</v>
      </c>
      <c r="P98" s="5">
        <f>ROUND(Source!EJ71,O98)</f>
        <v>1434866.65</v>
      </c>
      <c r="Q98" s="5"/>
      <c r="R98" s="5"/>
      <c r="S98" s="5"/>
      <c r="T98" s="5"/>
      <c r="U98" s="5"/>
      <c r="V98" s="5"/>
      <c r="W98" s="5"/>
    </row>
    <row r="99" spans="1:206" x14ac:dyDescent="0.2">
      <c r="A99" s="5">
        <v>50</v>
      </c>
      <c r="B99" s="5">
        <v>0</v>
      </c>
      <c r="C99" s="5">
        <v>0</v>
      </c>
      <c r="D99" s="5">
        <v>2</v>
      </c>
      <c r="E99" s="5">
        <v>201</v>
      </c>
      <c r="F99" s="5">
        <f>ROUND(ROUND(F73,2),O99)</f>
        <v>232998.25</v>
      </c>
      <c r="G99" s="5" t="s">
        <v>175</v>
      </c>
      <c r="H99" s="5" t="s">
        <v>176</v>
      </c>
      <c r="I99" s="5"/>
      <c r="J99" s="5"/>
      <c r="K99" s="5">
        <v>212</v>
      </c>
      <c r="L99" s="5">
        <v>27</v>
      </c>
      <c r="M99" s="5">
        <v>3</v>
      </c>
      <c r="N99" s="5" t="s">
        <v>6</v>
      </c>
      <c r="O99" s="5">
        <v>2</v>
      </c>
      <c r="P99" s="5">
        <f>ROUND(ROUND(P73,2),O99)</f>
        <v>1395659.44</v>
      </c>
      <c r="Q99" s="5"/>
      <c r="R99" s="5"/>
      <c r="S99" s="5"/>
      <c r="T99" s="5"/>
      <c r="U99" s="5"/>
      <c r="V99" s="5"/>
      <c r="W99" s="5"/>
    </row>
    <row r="100" spans="1:206" x14ac:dyDescent="0.2">
      <c r="A100" s="5">
        <v>50</v>
      </c>
      <c r="B100" s="5">
        <v>0</v>
      </c>
      <c r="C100" s="5">
        <v>0</v>
      </c>
      <c r="D100" s="5">
        <v>2</v>
      </c>
      <c r="E100" s="5">
        <v>210</v>
      </c>
      <c r="F100" s="5">
        <f>ROUND(ROUND(F96,2),O100)</f>
        <v>4041.31</v>
      </c>
      <c r="G100" s="5" t="s">
        <v>177</v>
      </c>
      <c r="H100" s="5" t="s">
        <v>170</v>
      </c>
      <c r="I100" s="5"/>
      <c r="J100" s="5"/>
      <c r="K100" s="5">
        <v>212</v>
      </c>
      <c r="L100" s="5">
        <v>28</v>
      </c>
      <c r="M100" s="5">
        <v>3</v>
      </c>
      <c r="N100" s="5" t="s">
        <v>6</v>
      </c>
      <c r="O100" s="5">
        <v>2</v>
      </c>
      <c r="P100" s="5">
        <f>ROUND(ROUND(P96,2),O100)</f>
        <v>24207.3</v>
      </c>
      <c r="Q100" s="5"/>
      <c r="R100" s="5"/>
      <c r="S100" s="5"/>
      <c r="T100" s="5"/>
      <c r="U100" s="5"/>
      <c r="V100" s="5"/>
      <c r="W100" s="5"/>
    </row>
    <row r="101" spans="1:206" x14ac:dyDescent="0.2">
      <c r="A101" s="5">
        <v>50</v>
      </c>
      <c r="B101" s="5">
        <v>0</v>
      </c>
      <c r="C101" s="5">
        <v>0</v>
      </c>
      <c r="D101" s="5">
        <v>2</v>
      </c>
      <c r="E101" s="5">
        <v>211</v>
      </c>
      <c r="F101" s="5">
        <f>ROUND(ROUND(F97,2),O101)</f>
        <v>2329.4699999999998</v>
      </c>
      <c r="G101" s="5" t="s">
        <v>178</v>
      </c>
      <c r="H101" s="5" t="s">
        <v>172</v>
      </c>
      <c r="I101" s="5"/>
      <c r="J101" s="5"/>
      <c r="K101" s="5">
        <v>212</v>
      </c>
      <c r="L101" s="5">
        <v>29</v>
      </c>
      <c r="M101" s="5">
        <v>3</v>
      </c>
      <c r="N101" s="5" t="s">
        <v>6</v>
      </c>
      <c r="O101" s="5">
        <v>2</v>
      </c>
      <c r="P101" s="5">
        <f>ROUND(ROUND(P97,2),O101)</f>
        <v>13953.36</v>
      </c>
      <c r="Q101" s="5"/>
      <c r="R101" s="5"/>
      <c r="S101" s="5"/>
      <c r="T101" s="5"/>
      <c r="U101" s="5"/>
      <c r="V101" s="5"/>
      <c r="W101" s="5"/>
    </row>
    <row r="102" spans="1:206" x14ac:dyDescent="0.2">
      <c r="A102" s="5">
        <v>50</v>
      </c>
      <c r="B102" s="5">
        <v>0</v>
      </c>
      <c r="C102" s="5">
        <v>0</v>
      </c>
      <c r="D102" s="5">
        <v>2</v>
      </c>
      <c r="E102" s="5">
        <v>0</v>
      </c>
      <c r="F102" s="5">
        <f>ROUND(F99+F100+F101,O102)</f>
        <v>239369.03</v>
      </c>
      <c r="G102" s="5" t="s">
        <v>179</v>
      </c>
      <c r="H102" s="5" t="s">
        <v>180</v>
      </c>
      <c r="I102" s="5"/>
      <c r="J102" s="5"/>
      <c r="K102" s="5">
        <v>212</v>
      </c>
      <c r="L102" s="5">
        <v>30</v>
      </c>
      <c r="M102" s="5">
        <v>3</v>
      </c>
      <c r="N102" s="5" t="s">
        <v>6</v>
      </c>
      <c r="O102" s="5">
        <v>2</v>
      </c>
      <c r="P102" s="5">
        <f>ROUND(P99+P100+P101,O102)</f>
        <v>1433820.1</v>
      </c>
      <c r="Q102" s="5"/>
      <c r="R102" s="5"/>
      <c r="S102" s="5"/>
      <c r="T102" s="5"/>
      <c r="U102" s="5"/>
      <c r="V102" s="5"/>
      <c r="W102" s="5"/>
    </row>
    <row r="103" spans="1:206" x14ac:dyDescent="0.2">
      <c r="A103" s="5">
        <v>50</v>
      </c>
      <c r="B103" s="5">
        <v>0</v>
      </c>
      <c r="C103" s="5">
        <v>0</v>
      </c>
      <c r="D103" s="5">
        <v>2</v>
      </c>
      <c r="E103" s="5">
        <v>0</v>
      </c>
      <c r="F103" s="5">
        <f>0</f>
        <v>0</v>
      </c>
      <c r="G103" s="5" t="s">
        <v>181</v>
      </c>
      <c r="H103" s="5" t="s">
        <v>182</v>
      </c>
      <c r="I103" s="5"/>
      <c r="J103" s="5"/>
      <c r="K103" s="5">
        <v>212</v>
      </c>
      <c r="L103" s="5">
        <v>31</v>
      </c>
      <c r="M103" s="5">
        <v>3</v>
      </c>
      <c r="N103" s="5" t="s">
        <v>6</v>
      </c>
      <c r="O103" s="5">
        <v>-1</v>
      </c>
      <c r="P103" s="5">
        <f>0</f>
        <v>0</v>
      </c>
      <c r="Q103" s="5"/>
      <c r="R103" s="5"/>
      <c r="S103" s="5"/>
      <c r="T103" s="5"/>
      <c r="U103" s="5"/>
      <c r="V103" s="5"/>
      <c r="W103" s="5"/>
    </row>
    <row r="104" spans="1:206" x14ac:dyDescent="0.2">
      <c r="A104" s="5">
        <v>50</v>
      </c>
      <c r="B104" s="5">
        <v>1</v>
      </c>
      <c r="C104" s="5">
        <v>0</v>
      </c>
      <c r="D104" s="5">
        <v>2</v>
      </c>
      <c r="E104" s="5">
        <v>0</v>
      </c>
      <c r="F104" s="5">
        <f>ROUND(F102+F103,O104)</f>
        <v>239369.03</v>
      </c>
      <c r="G104" s="5" t="s">
        <v>183</v>
      </c>
      <c r="H104" s="5" t="s">
        <v>180</v>
      </c>
      <c r="I104" s="5"/>
      <c r="J104" s="5"/>
      <c r="K104" s="5">
        <v>212</v>
      </c>
      <c r="L104" s="5">
        <v>32</v>
      </c>
      <c r="M104" s="5">
        <v>0</v>
      </c>
      <c r="N104" s="5" t="s">
        <v>6</v>
      </c>
      <c r="O104" s="5">
        <v>2</v>
      </c>
      <c r="P104" s="5">
        <f>ROUND(P102+P103,O104)</f>
        <v>1433820.1</v>
      </c>
      <c r="Q104" s="5"/>
      <c r="R104" s="5"/>
      <c r="S104" s="5"/>
      <c r="T104" s="5"/>
      <c r="U104" s="5"/>
      <c r="V104" s="5"/>
      <c r="W104" s="5"/>
    </row>
    <row r="105" spans="1:206" x14ac:dyDescent="0.2">
      <c r="A105" s="5">
        <v>50</v>
      </c>
      <c r="B105" s="5">
        <v>1</v>
      </c>
      <c r="C105" s="5">
        <v>0</v>
      </c>
      <c r="D105" s="5">
        <v>2</v>
      </c>
      <c r="E105" s="5">
        <v>0</v>
      </c>
      <c r="F105" s="5">
        <f>ROUND(ROUND(F104*0.18,2),O105)</f>
        <v>43086.43</v>
      </c>
      <c r="G105" s="5" t="s">
        <v>184</v>
      </c>
      <c r="H105" s="5" t="s">
        <v>185</v>
      </c>
      <c r="I105" s="5"/>
      <c r="J105" s="5"/>
      <c r="K105" s="5">
        <v>212</v>
      </c>
      <c r="L105" s="5">
        <v>33</v>
      </c>
      <c r="M105" s="5">
        <v>0</v>
      </c>
      <c r="N105" s="5" t="s">
        <v>6</v>
      </c>
      <c r="O105" s="5">
        <v>2</v>
      </c>
      <c r="P105" s="5">
        <f>ROUND(ROUND(P104*0.18,2),O105)</f>
        <v>258087.62</v>
      </c>
      <c r="Q105" s="5"/>
      <c r="R105" s="5"/>
      <c r="S105" s="5"/>
      <c r="T105" s="5"/>
      <c r="U105" s="5"/>
      <c r="V105" s="5"/>
      <c r="W105" s="5"/>
    </row>
    <row r="106" spans="1:206" x14ac:dyDescent="0.2">
      <c r="A106" s="5">
        <v>50</v>
      </c>
      <c r="B106" s="5">
        <v>1</v>
      </c>
      <c r="C106" s="5">
        <v>0</v>
      </c>
      <c r="D106" s="5">
        <v>2</v>
      </c>
      <c r="E106" s="5">
        <v>213</v>
      </c>
      <c r="F106" s="5">
        <f>ROUND(F104+F105,O106)</f>
        <v>282455.46000000002</v>
      </c>
      <c r="G106" s="5" t="s">
        <v>186</v>
      </c>
      <c r="H106" s="5" t="s">
        <v>173</v>
      </c>
      <c r="I106" s="5"/>
      <c r="J106" s="5"/>
      <c r="K106" s="5">
        <v>212</v>
      </c>
      <c r="L106" s="5">
        <v>34</v>
      </c>
      <c r="M106" s="5">
        <v>0</v>
      </c>
      <c r="N106" s="5" t="s">
        <v>6</v>
      </c>
      <c r="O106" s="5">
        <v>2</v>
      </c>
      <c r="P106" s="5">
        <f>ROUND(P104+P105,O106)</f>
        <v>1691907.72</v>
      </c>
      <c r="Q106" s="5"/>
      <c r="R106" s="5"/>
      <c r="S106" s="5"/>
      <c r="T106" s="5"/>
      <c r="U106" s="5"/>
      <c r="V106" s="5"/>
      <c r="W106" s="5"/>
    </row>
    <row r="108" spans="1:206" x14ac:dyDescent="0.2">
      <c r="A108" s="3">
        <v>51</v>
      </c>
      <c r="B108" s="3">
        <f>B12</f>
        <v>174</v>
      </c>
      <c r="C108" s="3">
        <f>A12</f>
        <v>1</v>
      </c>
      <c r="D108" s="3">
        <f>ROW(A12)</f>
        <v>12</v>
      </c>
      <c r="E108" s="3"/>
      <c r="F108" s="3" t="str">
        <f>IF(F12&lt;&gt;"",F12,"")</f>
        <v>Новый объект_(Копия)_(Копия)</v>
      </c>
      <c r="G108" s="3" t="str">
        <f>IF(G12&lt;&gt;"",G12,"")</f>
        <v>Капитальный ремонт окооных проемов в библиотекеучебного корпуса ДИТИ НИЯУ МИФИ_</v>
      </c>
      <c r="H108" s="3">
        <v>0</v>
      </c>
      <c r="I108" s="3"/>
      <c r="J108" s="3"/>
      <c r="K108" s="3"/>
      <c r="L108" s="3"/>
      <c r="M108" s="3"/>
      <c r="N108" s="3"/>
      <c r="O108" s="3">
        <f t="shared" ref="O108:T108" si="57">ROUND(O71,2)</f>
        <v>232998.25</v>
      </c>
      <c r="P108" s="3">
        <f t="shared" si="57"/>
        <v>228447.37</v>
      </c>
      <c r="Q108" s="3">
        <f t="shared" si="57"/>
        <v>529.55999999999995</v>
      </c>
      <c r="R108" s="3">
        <f t="shared" si="57"/>
        <v>164.69</v>
      </c>
      <c r="S108" s="3">
        <f t="shared" si="57"/>
        <v>4021.32</v>
      </c>
      <c r="T108" s="3">
        <f t="shared" si="57"/>
        <v>0</v>
      </c>
      <c r="U108" s="3">
        <f>U71</f>
        <v>474.07652999999999</v>
      </c>
      <c r="V108" s="3">
        <f>V71</f>
        <v>12.734423999999997</v>
      </c>
      <c r="W108" s="3">
        <f>ROUND(W71,2)</f>
        <v>0</v>
      </c>
      <c r="X108" s="3">
        <f>ROUND(X71,2)</f>
        <v>4041.31</v>
      </c>
      <c r="Y108" s="3">
        <f>ROUND(Y71,2)</f>
        <v>2329.4699999999998</v>
      </c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>
        <f t="shared" ref="AO108:BC108" si="58">ROUND(AO71,2)</f>
        <v>0</v>
      </c>
      <c r="AP108" s="3">
        <f t="shared" si="58"/>
        <v>0</v>
      </c>
      <c r="AQ108" s="3">
        <f t="shared" si="58"/>
        <v>0</v>
      </c>
      <c r="AR108" s="3">
        <f t="shared" si="58"/>
        <v>239543.75</v>
      </c>
      <c r="AS108" s="3">
        <f t="shared" si="58"/>
        <v>239543.75</v>
      </c>
      <c r="AT108" s="3">
        <f t="shared" si="58"/>
        <v>0</v>
      </c>
      <c r="AU108" s="3">
        <f t="shared" si="58"/>
        <v>0</v>
      </c>
      <c r="AV108" s="3">
        <f t="shared" si="58"/>
        <v>228447.37</v>
      </c>
      <c r="AW108" s="3">
        <f t="shared" si="58"/>
        <v>228447.37</v>
      </c>
      <c r="AX108" s="3">
        <f t="shared" si="58"/>
        <v>0</v>
      </c>
      <c r="AY108" s="3">
        <f t="shared" si="58"/>
        <v>228447.37</v>
      </c>
      <c r="AZ108" s="3">
        <f t="shared" si="58"/>
        <v>0</v>
      </c>
      <c r="BA108" s="3">
        <f t="shared" si="58"/>
        <v>0</v>
      </c>
      <c r="BB108" s="3">
        <f t="shared" si="58"/>
        <v>0</v>
      </c>
      <c r="BC108" s="3">
        <f t="shared" si="58"/>
        <v>0</v>
      </c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4">
        <f t="shared" ref="DG108:DL108" si="59">ROUND(DG71,2)</f>
        <v>1395659.44</v>
      </c>
      <c r="DH108" s="4">
        <f t="shared" si="59"/>
        <v>1368399.65</v>
      </c>
      <c r="DI108" s="4">
        <f t="shared" si="59"/>
        <v>3172.13</v>
      </c>
      <c r="DJ108" s="4">
        <f t="shared" si="59"/>
        <v>986.45</v>
      </c>
      <c r="DK108" s="4">
        <f t="shared" si="59"/>
        <v>24087.66</v>
      </c>
      <c r="DL108" s="4">
        <f t="shared" si="59"/>
        <v>0</v>
      </c>
      <c r="DM108" s="4">
        <f>DM71</f>
        <v>474.07652999999999</v>
      </c>
      <c r="DN108" s="4">
        <f>DN71</f>
        <v>12.734423999999997</v>
      </c>
      <c r="DO108" s="4">
        <f>ROUND(DO71,2)</f>
        <v>0</v>
      </c>
      <c r="DP108" s="4">
        <f>ROUND(DP71,2)</f>
        <v>24207.3</v>
      </c>
      <c r="DQ108" s="4">
        <f>ROUND(DQ71,2)</f>
        <v>13953.36</v>
      </c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>
        <f t="shared" ref="EG108:EU108" si="60">ROUND(EG71,2)</f>
        <v>0</v>
      </c>
      <c r="EH108" s="4">
        <f t="shared" si="60"/>
        <v>0</v>
      </c>
      <c r="EI108" s="4">
        <f t="shared" si="60"/>
        <v>0</v>
      </c>
      <c r="EJ108" s="4">
        <f t="shared" si="60"/>
        <v>1434866.65</v>
      </c>
      <c r="EK108" s="4">
        <f t="shared" si="60"/>
        <v>1434866.65</v>
      </c>
      <c r="EL108" s="4">
        <f t="shared" si="60"/>
        <v>0</v>
      </c>
      <c r="EM108" s="4">
        <f t="shared" si="60"/>
        <v>0</v>
      </c>
      <c r="EN108" s="4">
        <f t="shared" si="60"/>
        <v>1368399.65</v>
      </c>
      <c r="EO108" s="4">
        <f t="shared" si="60"/>
        <v>1368399.65</v>
      </c>
      <c r="EP108" s="4">
        <f t="shared" si="60"/>
        <v>0</v>
      </c>
      <c r="EQ108" s="4">
        <f t="shared" si="60"/>
        <v>1368399.65</v>
      </c>
      <c r="ER108" s="4">
        <f t="shared" si="60"/>
        <v>0</v>
      </c>
      <c r="ES108" s="4">
        <f t="shared" si="60"/>
        <v>0</v>
      </c>
      <c r="ET108" s="4">
        <f t="shared" si="60"/>
        <v>0</v>
      </c>
      <c r="EU108" s="4">
        <f t="shared" si="60"/>
        <v>0</v>
      </c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>
        <v>0</v>
      </c>
    </row>
    <row r="110" spans="1:206" x14ac:dyDescent="0.2">
      <c r="A110" s="5">
        <v>50</v>
      </c>
      <c r="B110" s="5">
        <v>0</v>
      </c>
      <c r="C110" s="5">
        <v>0</v>
      </c>
      <c r="D110" s="5">
        <v>1</v>
      </c>
      <c r="E110" s="5">
        <v>0</v>
      </c>
      <c r="F110" s="5">
        <f>ROUND(Source!O108,O110)</f>
        <v>232998.25</v>
      </c>
      <c r="G110" s="5" t="s">
        <v>123</v>
      </c>
      <c r="H110" s="5" t="s">
        <v>124</v>
      </c>
      <c r="I110" s="5"/>
      <c r="J110" s="5"/>
      <c r="K110" s="5">
        <v>201</v>
      </c>
      <c r="L110" s="5">
        <v>1</v>
      </c>
      <c r="M110" s="5">
        <v>3</v>
      </c>
      <c r="N110" s="5" t="s">
        <v>6</v>
      </c>
      <c r="O110" s="5">
        <v>2</v>
      </c>
      <c r="P110" s="5">
        <f>ROUND(Source!DG108,O110)</f>
        <v>1395659.44</v>
      </c>
      <c r="Q110" s="5"/>
      <c r="R110" s="5"/>
      <c r="S110" s="5"/>
      <c r="T110" s="5"/>
      <c r="U110" s="5"/>
      <c r="V110" s="5"/>
      <c r="W110" s="5"/>
    </row>
    <row r="111" spans="1:206" x14ac:dyDescent="0.2">
      <c r="A111" s="5">
        <v>50</v>
      </c>
      <c r="B111" s="5">
        <v>0</v>
      </c>
      <c r="C111" s="5">
        <v>0</v>
      </c>
      <c r="D111" s="5">
        <v>1</v>
      </c>
      <c r="E111" s="5">
        <v>202</v>
      </c>
      <c r="F111" s="5">
        <f>ROUND(Source!P108,O111)</f>
        <v>228447.37</v>
      </c>
      <c r="G111" s="5" t="s">
        <v>125</v>
      </c>
      <c r="H111" s="5" t="s">
        <v>126</v>
      </c>
      <c r="I111" s="5"/>
      <c r="J111" s="5"/>
      <c r="K111" s="5">
        <v>202</v>
      </c>
      <c r="L111" s="5">
        <v>2</v>
      </c>
      <c r="M111" s="5">
        <v>3</v>
      </c>
      <c r="N111" s="5" t="s">
        <v>6</v>
      </c>
      <c r="O111" s="5">
        <v>2</v>
      </c>
      <c r="P111" s="5">
        <f>ROUND(Source!DH108,O111)</f>
        <v>1368399.65</v>
      </c>
      <c r="Q111" s="5"/>
      <c r="R111" s="5"/>
      <c r="S111" s="5"/>
      <c r="T111" s="5"/>
      <c r="U111" s="5"/>
      <c r="V111" s="5"/>
      <c r="W111" s="5"/>
    </row>
    <row r="112" spans="1:206" x14ac:dyDescent="0.2">
      <c r="A112" s="5">
        <v>50</v>
      </c>
      <c r="B112" s="5">
        <v>0</v>
      </c>
      <c r="C112" s="5">
        <v>0</v>
      </c>
      <c r="D112" s="5">
        <v>1</v>
      </c>
      <c r="E112" s="5">
        <v>222</v>
      </c>
      <c r="F112" s="5">
        <f>ROUND(Source!AO108,O112)</f>
        <v>0</v>
      </c>
      <c r="G112" s="5" t="s">
        <v>127</v>
      </c>
      <c r="H112" s="5" t="s">
        <v>128</v>
      </c>
      <c r="I112" s="5"/>
      <c r="J112" s="5"/>
      <c r="K112" s="5">
        <v>222</v>
      </c>
      <c r="L112" s="5">
        <v>3</v>
      </c>
      <c r="M112" s="5">
        <v>3</v>
      </c>
      <c r="N112" s="5" t="s">
        <v>6</v>
      </c>
      <c r="O112" s="5">
        <v>2</v>
      </c>
      <c r="P112" s="5">
        <f>ROUND(Source!EG108,O112)</f>
        <v>0</v>
      </c>
      <c r="Q112" s="5"/>
      <c r="R112" s="5"/>
      <c r="S112" s="5"/>
      <c r="T112" s="5"/>
      <c r="U112" s="5"/>
      <c r="V112" s="5"/>
      <c r="W112" s="5"/>
    </row>
    <row r="113" spans="1:23" x14ac:dyDescent="0.2">
      <c r="A113" s="5">
        <v>50</v>
      </c>
      <c r="B113" s="5">
        <v>0</v>
      </c>
      <c r="C113" s="5">
        <v>0</v>
      </c>
      <c r="D113" s="5">
        <v>1</v>
      </c>
      <c r="E113" s="5">
        <v>225</v>
      </c>
      <c r="F113" s="5">
        <f>ROUND(Source!AV108,O113)</f>
        <v>228447.37</v>
      </c>
      <c r="G113" s="5" t="s">
        <v>129</v>
      </c>
      <c r="H113" s="5" t="s">
        <v>130</v>
      </c>
      <c r="I113" s="5"/>
      <c r="J113" s="5"/>
      <c r="K113" s="5">
        <v>225</v>
      </c>
      <c r="L113" s="5">
        <v>4</v>
      </c>
      <c r="M113" s="5">
        <v>3</v>
      </c>
      <c r="N113" s="5" t="s">
        <v>6</v>
      </c>
      <c r="O113" s="5">
        <v>2</v>
      </c>
      <c r="P113" s="5">
        <f>ROUND(Source!EN108,O113)</f>
        <v>1368399.65</v>
      </c>
      <c r="Q113" s="5"/>
      <c r="R113" s="5"/>
      <c r="S113" s="5"/>
      <c r="T113" s="5"/>
      <c r="U113" s="5"/>
      <c r="V113" s="5"/>
      <c r="W113" s="5"/>
    </row>
    <row r="114" spans="1:23" x14ac:dyDescent="0.2">
      <c r="A114" s="5">
        <v>50</v>
      </c>
      <c r="B114" s="5">
        <v>0</v>
      </c>
      <c r="C114" s="5">
        <v>0</v>
      </c>
      <c r="D114" s="5">
        <v>1</v>
      </c>
      <c r="E114" s="5">
        <v>226</v>
      </c>
      <c r="F114" s="5">
        <f>ROUND(Source!AW108,O114)</f>
        <v>228447.37</v>
      </c>
      <c r="G114" s="5" t="s">
        <v>131</v>
      </c>
      <c r="H114" s="5" t="s">
        <v>132</v>
      </c>
      <c r="I114" s="5"/>
      <c r="J114" s="5"/>
      <c r="K114" s="5">
        <v>226</v>
      </c>
      <c r="L114" s="5">
        <v>5</v>
      </c>
      <c r="M114" s="5">
        <v>3</v>
      </c>
      <c r="N114" s="5" t="s">
        <v>6</v>
      </c>
      <c r="O114" s="5">
        <v>2</v>
      </c>
      <c r="P114" s="5">
        <f>ROUND(Source!EO108,O114)</f>
        <v>1368399.65</v>
      </c>
      <c r="Q114" s="5"/>
      <c r="R114" s="5"/>
      <c r="S114" s="5"/>
      <c r="T114" s="5"/>
      <c r="U114" s="5"/>
      <c r="V114" s="5"/>
      <c r="W114" s="5"/>
    </row>
    <row r="115" spans="1:23" x14ac:dyDescent="0.2">
      <c r="A115" s="5">
        <v>50</v>
      </c>
      <c r="B115" s="5">
        <v>0</v>
      </c>
      <c r="C115" s="5">
        <v>0</v>
      </c>
      <c r="D115" s="5">
        <v>1</v>
      </c>
      <c r="E115" s="5">
        <v>227</v>
      </c>
      <c r="F115" s="5">
        <f>ROUND(Source!AX108,O115)</f>
        <v>0</v>
      </c>
      <c r="G115" s="5" t="s">
        <v>133</v>
      </c>
      <c r="H115" s="5" t="s">
        <v>134</v>
      </c>
      <c r="I115" s="5"/>
      <c r="J115" s="5"/>
      <c r="K115" s="5">
        <v>227</v>
      </c>
      <c r="L115" s="5">
        <v>6</v>
      </c>
      <c r="M115" s="5">
        <v>3</v>
      </c>
      <c r="N115" s="5" t="s">
        <v>6</v>
      </c>
      <c r="O115" s="5">
        <v>2</v>
      </c>
      <c r="P115" s="5">
        <f>ROUND(Source!EP108,O115)</f>
        <v>0</v>
      </c>
      <c r="Q115" s="5"/>
      <c r="R115" s="5"/>
      <c r="S115" s="5"/>
      <c r="T115" s="5"/>
      <c r="U115" s="5"/>
      <c r="V115" s="5"/>
      <c r="W115" s="5"/>
    </row>
    <row r="116" spans="1:23" x14ac:dyDescent="0.2">
      <c r="A116" s="5">
        <v>50</v>
      </c>
      <c r="B116" s="5">
        <v>0</v>
      </c>
      <c r="C116" s="5">
        <v>0</v>
      </c>
      <c r="D116" s="5">
        <v>1</v>
      </c>
      <c r="E116" s="5">
        <v>228</v>
      </c>
      <c r="F116" s="5">
        <f>ROUND(Source!AY108,O116)</f>
        <v>228447.37</v>
      </c>
      <c r="G116" s="5" t="s">
        <v>135</v>
      </c>
      <c r="H116" s="5" t="s">
        <v>136</v>
      </c>
      <c r="I116" s="5"/>
      <c r="J116" s="5"/>
      <c r="K116" s="5">
        <v>228</v>
      </c>
      <c r="L116" s="5">
        <v>7</v>
      </c>
      <c r="M116" s="5">
        <v>3</v>
      </c>
      <c r="N116" s="5" t="s">
        <v>6</v>
      </c>
      <c r="O116" s="5">
        <v>2</v>
      </c>
      <c r="P116" s="5">
        <f>ROUND(Source!EQ108,O116)</f>
        <v>1368399.65</v>
      </c>
      <c r="Q116" s="5"/>
      <c r="R116" s="5"/>
      <c r="S116" s="5"/>
      <c r="T116" s="5"/>
      <c r="U116" s="5"/>
      <c r="V116" s="5"/>
      <c r="W116" s="5"/>
    </row>
    <row r="117" spans="1:23" x14ac:dyDescent="0.2">
      <c r="A117" s="5">
        <v>50</v>
      </c>
      <c r="B117" s="5">
        <v>0</v>
      </c>
      <c r="C117" s="5">
        <v>0</v>
      </c>
      <c r="D117" s="5">
        <v>1</v>
      </c>
      <c r="E117" s="5">
        <v>216</v>
      </c>
      <c r="F117" s="5">
        <f>ROUND(Source!AP108,O117)</f>
        <v>0</v>
      </c>
      <c r="G117" s="5" t="s">
        <v>137</v>
      </c>
      <c r="H117" s="5" t="s">
        <v>138</v>
      </c>
      <c r="I117" s="5"/>
      <c r="J117" s="5"/>
      <c r="K117" s="5">
        <v>216</v>
      </c>
      <c r="L117" s="5">
        <v>8</v>
      </c>
      <c r="M117" s="5">
        <v>3</v>
      </c>
      <c r="N117" s="5" t="s">
        <v>6</v>
      </c>
      <c r="O117" s="5">
        <v>2</v>
      </c>
      <c r="P117" s="5">
        <f>ROUND(Source!EH108,O117)</f>
        <v>0</v>
      </c>
      <c r="Q117" s="5"/>
      <c r="R117" s="5"/>
      <c r="S117" s="5"/>
      <c r="T117" s="5"/>
      <c r="U117" s="5"/>
      <c r="V117" s="5"/>
      <c r="W117" s="5"/>
    </row>
    <row r="118" spans="1:23" x14ac:dyDescent="0.2">
      <c r="A118" s="5">
        <v>50</v>
      </c>
      <c r="B118" s="5">
        <v>0</v>
      </c>
      <c r="C118" s="5">
        <v>0</v>
      </c>
      <c r="D118" s="5">
        <v>1</v>
      </c>
      <c r="E118" s="5">
        <v>223</v>
      </c>
      <c r="F118" s="5">
        <f>ROUND(Source!AQ108,O118)</f>
        <v>0</v>
      </c>
      <c r="G118" s="5" t="s">
        <v>139</v>
      </c>
      <c r="H118" s="5" t="s">
        <v>140</v>
      </c>
      <c r="I118" s="5"/>
      <c r="J118" s="5"/>
      <c r="K118" s="5">
        <v>223</v>
      </c>
      <c r="L118" s="5">
        <v>9</v>
      </c>
      <c r="M118" s="5">
        <v>3</v>
      </c>
      <c r="N118" s="5" t="s">
        <v>6</v>
      </c>
      <c r="O118" s="5">
        <v>2</v>
      </c>
      <c r="P118" s="5">
        <f>ROUND(Source!EI108,O118)</f>
        <v>0</v>
      </c>
      <c r="Q118" s="5"/>
      <c r="R118" s="5"/>
      <c r="S118" s="5"/>
      <c r="T118" s="5"/>
      <c r="U118" s="5"/>
      <c r="V118" s="5"/>
      <c r="W118" s="5"/>
    </row>
    <row r="119" spans="1:23" x14ac:dyDescent="0.2">
      <c r="A119" s="5">
        <v>50</v>
      </c>
      <c r="B119" s="5">
        <v>0</v>
      </c>
      <c r="C119" s="5">
        <v>0</v>
      </c>
      <c r="D119" s="5">
        <v>1</v>
      </c>
      <c r="E119" s="5">
        <v>229</v>
      </c>
      <c r="F119" s="5">
        <f>ROUND(Source!AZ108,O119)</f>
        <v>0</v>
      </c>
      <c r="G119" s="5" t="s">
        <v>141</v>
      </c>
      <c r="H119" s="5" t="s">
        <v>142</v>
      </c>
      <c r="I119" s="5"/>
      <c r="J119" s="5"/>
      <c r="K119" s="5">
        <v>229</v>
      </c>
      <c r="L119" s="5">
        <v>10</v>
      </c>
      <c r="M119" s="5">
        <v>3</v>
      </c>
      <c r="N119" s="5" t="s">
        <v>6</v>
      </c>
      <c r="O119" s="5">
        <v>2</v>
      </c>
      <c r="P119" s="5">
        <f>ROUND(Source!ER108,O119)</f>
        <v>0</v>
      </c>
      <c r="Q119" s="5"/>
      <c r="R119" s="5"/>
      <c r="S119" s="5"/>
      <c r="T119" s="5"/>
      <c r="U119" s="5"/>
      <c r="V119" s="5"/>
      <c r="W119" s="5"/>
    </row>
    <row r="120" spans="1:23" x14ac:dyDescent="0.2">
      <c r="A120" s="5">
        <v>50</v>
      </c>
      <c r="B120" s="5">
        <v>0</v>
      </c>
      <c r="C120" s="5">
        <v>0</v>
      </c>
      <c r="D120" s="5">
        <v>1</v>
      </c>
      <c r="E120" s="5">
        <v>203</v>
      </c>
      <c r="F120" s="5">
        <f>ROUND(Source!Q108,O120)</f>
        <v>529.55999999999995</v>
      </c>
      <c r="G120" s="5" t="s">
        <v>143</v>
      </c>
      <c r="H120" s="5" t="s">
        <v>144</v>
      </c>
      <c r="I120" s="5"/>
      <c r="J120" s="5"/>
      <c r="K120" s="5">
        <v>203</v>
      </c>
      <c r="L120" s="5">
        <v>11</v>
      </c>
      <c r="M120" s="5">
        <v>3</v>
      </c>
      <c r="N120" s="5" t="s">
        <v>6</v>
      </c>
      <c r="O120" s="5">
        <v>2</v>
      </c>
      <c r="P120" s="5">
        <f>ROUND(Source!DI108,O120)</f>
        <v>3172.13</v>
      </c>
      <c r="Q120" s="5"/>
      <c r="R120" s="5"/>
      <c r="S120" s="5"/>
      <c r="T120" s="5"/>
      <c r="U120" s="5"/>
      <c r="V120" s="5"/>
      <c r="W120" s="5"/>
    </row>
    <row r="121" spans="1:23" x14ac:dyDescent="0.2">
      <c r="A121" s="5">
        <v>50</v>
      </c>
      <c r="B121" s="5">
        <v>0</v>
      </c>
      <c r="C121" s="5">
        <v>0</v>
      </c>
      <c r="D121" s="5">
        <v>1</v>
      </c>
      <c r="E121" s="5">
        <v>231</v>
      </c>
      <c r="F121" s="5">
        <f>ROUND(Source!BB108,O121)</f>
        <v>0</v>
      </c>
      <c r="G121" s="5" t="s">
        <v>145</v>
      </c>
      <c r="H121" s="5" t="s">
        <v>146</v>
      </c>
      <c r="I121" s="5"/>
      <c r="J121" s="5"/>
      <c r="K121" s="5">
        <v>231</v>
      </c>
      <c r="L121" s="5">
        <v>12</v>
      </c>
      <c r="M121" s="5">
        <v>3</v>
      </c>
      <c r="N121" s="5" t="s">
        <v>6</v>
      </c>
      <c r="O121" s="5">
        <v>2</v>
      </c>
      <c r="P121" s="5">
        <f>ROUND(Source!ET108,O121)</f>
        <v>0</v>
      </c>
      <c r="Q121" s="5"/>
      <c r="R121" s="5"/>
      <c r="S121" s="5"/>
      <c r="T121" s="5"/>
      <c r="U121" s="5"/>
      <c r="V121" s="5"/>
      <c r="W121" s="5"/>
    </row>
    <row r="122" spans="1:23" x14ac:dyDescent="0.2">
      <c r="A122" s="5">
        <v>50</v>
      </c>
      <c r="B122" s="5">
        <v>0</v>
      </c>
      <c r="C122" s="5">
        <v>0</v>
      </c>
      <c r="D122" s="5">
        <v>1</v>
      </c>
      <c r="E122" s="5">
        <v>204</v>
      </c>
      <c r="F122" s="5">
        <f>ROUND(Source!R108,O122)</f>
        <v>164.69</v>
      </c>
      <c r="G122" s="5" t="s">
        <v>147</v>
      </c>
      <c r="H122" s="5" t="s">
        <v>148</v>
      </c>
      <c r="I122" s="5"/>
      <c r="J122" s="5"/>
      <c r="K122" s="5">
        <v>204</v>
      </c>
      <c r="L122" s="5">
        <v>13</v>
      </c>
      <c r="M122" s="5">
        <v>3</v>
      </c>
      <c r="N122" s="5" t="s">
        <v>6</v>
      </c>
      <c r="O122" s="5">
        <v>2</v>
      </c>
      <c r="P122" s="5">
        <f>ROUND(Source!DJ108,O122)</f>
        <v>986.45</v>
      </c>
      <c r="Q122" s="5"/>
      <c r="R122" s="5"/>
      <c r="S122" s="5"/>
      <c r="T122" s="5"/>
      <c r="U122" s="5"/>
      <c r="V122" s="5"/>
      <c r="W122" s="5"/>
    </row>
    <row r="123" spans="1:23" x14ac:dyDescent="0.2">
      <c r="A123" s="5">
        <v>50</v>
      </c>
      <c r="B123" s="5">
        <v>0</v>
      </c>
      <c r="C123" s="5">
        <v>0</v>
      </c>
      <c r="D123" s="5">
        <v>1</v>
      </c>
      <c r="E123" s="5">
        <v>205</v>
      </c>
      <c r="F123" s="5">
        <f>ROUND(Source!S108,O123)</f>
        <v>4021.32</v>
      </c>
      <c r="G123" s="5" t="s">
        <v>149</v>
      </c>
      <c r="H123" s="5" t="s">
        <v>150</v>
      </c>
      <c r="I123" s="5"/>
      <c r="J123" s="5"/>
      <c r="K123" s="5">
        <v>205</v>
      </c>
      <c r="L123" s="5">
        <v>14</v>
      </c>
      <c r="M123" s="5">
        <v>3</v>
      </c>
      <c r="N123" s="5" t="s">
        <v>6</v>
      </c>
      <c r="O123" s="5">
        <v>2</v>
      </c>
      <c r="P123" s="5">
        <f>ROUND(Source!DK108,O123)</f>
        <v>24087.66</v>
      </c>
      <c r="Q123" s="5"/>
      <c r="R123" s="5"/>
      <c r="S123" s="5"/>
      <c r="T123" s="5"/>
      <c r="U123" s="5"/>
      <c r="V123" s="5"/>
      <c r="W123" s="5"/>
    </row>
    <row r="124" spans="1:23" x14ac:dyDescent="0.2">
      <c r="A124" s="5">
        <v>50</v>
      </c>
      <c r="B124" s="5">
        <v>0</v>
      </c>
      <c r="C124" s="5">
        <v>0</v>
      </c>
      <c r="D124" s="5">
        <v>1</v>
      </c>
      <c r="E124" s="5">
        <v>232</v>
      </c>
      <c r="F124" s="5">
        <f>ROUND(Source!BC108,O124)</f>
        <v>0</v>
      </c>
      <c r="G124" s="5" t="s">
        <v>151</v>
      </c>
      <c r="H124" s="5" t="s">
        <v>152</v>
      </c>
      <c r="I124" s="5"/>
      <c r="J124" s="5"/>
      <c r="K124" s="5">
        <v>232</v>
      </c>
      <c r="L124" s="5">
        <v>15</v>
      </c>
      <c r="M124" s="5">
        <v>3</v>
      </c>
      <c r="N124" s="5" t="s">
        <v>6</v>
      </c>
      <c r="O124" s="5">
        <v>2</v>
      </c>
      <c r="P124" s="5">
        <f>ROUND(Source!EU108,O124)</f>
        <v>0</v>
      </c>
      <c r="Q124" s="5"/>
      <c r="R124" s="5"/>
      <c r="S124" s="5"/>
      <c r="T124" s="5"/>
      <c r="U124" s="5"/>
      <c r="V124" s="5"/>
      <c r="W124" s="5"/>
    </row>
    <row r="125" spans="1:23" x14ac:dyDescent="0.2">
      <c r="A125" s="5">
        <v>50</v>
      </c>
      <c r="B125" s="5">
        <v>0</v>
      </c>
      <c r="C125" s="5">
        <v>0</v>
      </c>
      <c r="D125" s="5">
        <v>1</v>
      </c>
      <c r="E125" s="5">
        <v>214</v>
      </c>
      <c r="F125" s="5">
        <f>ROUND(Source!AS108,O125)</f>
        <v>239543.75</v>
      </c>
      <c r="G125" s="5" t="s">
        <v>153</v>
      </c>
      <c r="H125" s="5" t="s">
        <v>154</v>
      </c>
      <c r="I125" s="5"/>
      <c r="J125" s="5"/>
      <c r="K125" s="5">
        <v>214</v>
      </c>
      <c r="L125" s="5">
        <v>16</v>
      </c>
      <c r="M125" s="5">
        <v>3</v>
      </c>
      <c r="N125" s="5" t="s">
        <v>6</v>
      </c>
      <c r="O125" s="5">
        <v>2</v>
      </c>
      <c r="P125" s="5">
        <f>ROUND(Source!EK108,O125)</f>
        <v>1434866.65</v>
      </c>
      <c r="Q125" s="5"/>
      <c r="R125" s="5"/>
      <c r="S125" s="5"/>
      <c r="T125" s="5"/>
      <c r="U125" s="5"/>
      <c r="V125" s="5"/>
      <c r="W125" s="5"/>
    </row>
    <row r="126" spans="1:23" x14ac:dyDescent="0.2">
      <c r="A126" s="5">
        <v>50</v>
      </c>
      <c r="B126" s="5">
        <v>0</v>
      </c>
      <c r="C126" s="5">
        <v>0</v>
      </c>
      <c r="D126" s="5">
        <v>1</v>
      </c>
      <c r="E126" s="5">
        <v>215</v>
      </c>
      <c r="F126" s="5">
        <f>ROUND(Source!AT108,O126)</f>
        <v>0</v>
      </c>
      <c r="G126" s="5" t="s">
        <v>155</v>
      </c>
      <c r="H126" s="5" t="s">
        <v>156</v>
      </c>
      <c r="I126" s="5"/>
      <c r="J126" s="5"/>
      <c r="K126" s="5">
        <v>215</v>
      </c>
      <c r="L126" s="5">
        <v>17</v>
      </c>
      <c r="M126" s="5">
        <v>3</v>
      </c>
      <c r="N126" s="5" t="s">
        <v>6</v>
      </c>
      <c r="O126" s="5">
        <v>2</v>
      </c>
      <c r="P126" s="5">
        <f>ROUND(Source!EL108,O126)</f>
        <v>0</v>
      </c>
      <c r="Q126" s="5"/>
      <c r="R126" s="5"/>
      <c r="S126" s="5"/>
      <c r="T126" s="5"/>
      <c r="U126" s="5"/>
      <c r="V126" s="5"/>
      <c r="W126" s="5"/>
    </row>
    <row r="127" spans="1:23" x14ac:dyDescent="0.2">
      <c r="A127" s="5">
        <v>50</v>
      </c>
      <c r="B127" s="5">
        <v>0</v>
      </c>
      <c r="C127" s="5">
        <v>0</v>
      </c>
      <c r="D127" s="5">
        <v>1</v>
      </c>
      <c r="E127" s="5">
        <v>217</v>
      </c>
      <c r="F127" s="5">
        <f>ROUND(Source!AU108,O127)</f>
        <v>0</v>
      </c>
      <c r="G127" s="5" t="s">
        <v>157</v>
      </c>
      <c r="H127" s="5" t="s">
        <v>158</v>
      </c>
      <c r="I127" s="5"/>
      <c r="J127" s="5"/>
      <c r="K127" s="5">
        <v>217</v>
      </c>
      <c r="L127" s="5">
        <v>18</v>
      </c>
      <c r="M127" s="5">
        <v>3</v>
      </c>
      <c r="N127" s="5" t="s">
        <v>6</v>
      </c>
      <c r="O127" s="5">
        <v>2</v>
      </c>
      <c r="P127" s="5">
        <f>ROUND(Source!EM108,O127)</f>
        <v>0</v>
      </c>
      <c r="Q127" s="5"/>
      <c r="R127" s="5"/>
      <c r="S127" s="5"/>
      <c r="T127" s="5"/>
      <c r="U127" s="5"/>
      <c r="V127" s="5"/>
      <c r="W127" s="5"/>
    </row>
    <row r="128" spans="1:23" x14ac:dyDescent="0.2">
      <c r="A128" s="5">
        <v>50</v>
      </c>
      <c r="B128" s="5">
        <v>0</v>
      </c>
      <c r="C128" s="5">
        <v>0</v>
      </c>
      <c r="D128" s="5">
        <v>1</v>
      </c>
      <c r="E128" s="5">
        <v>230</v>
      </c>
      <c r="F128" s="5">
        <f>ROUND(Source!BA108,O128)</f>
        <v>0</v>
      </c>
      <c r="G128" s="5" t="s">
        <v>159</v>
      </c>
      <c r="H128" s="5" t="s">
        <v>160</v>
      </c>
      <c r="I128" s="5"/>
      <c r="J128" s="5"/>
      <c r="K128" s="5">
        <v>230</v>
      </c>
      <c r="L128" s="5">
        <v>19</v>
      </c>
      <c r="M128" s="5">
        <v>3</v>
      </c>
      <c r="N128" s="5" t="s">
        <v>6</v>
      </c>
      <c r="O128" s="5">
        <v>2</v>
      </c>
      <c r="P128" s="5">
        <f>ROUND(Source!ES108,O128)</f>
        <v>0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206</v>
      </c>
      <c r="F129" s="5">
        <f>ROUND(Source!T108,O129)</f>
        <v>0</v>
      </c>
      <c r="G129" s="5" t="s">
        <v>161</v>
      </c>
      <c r="H129" s="5" t="s">
        <v>162</v>
      </c>
      <c r="I129" s="5"/>
      <c r="J129" s="5"/>
      <c r="K129" s="5">
        <v>206</v>
      </c>
      <c r="L129" s="5">
        <v>20</v>
      </c>
      <c r="M129" s="5">
        <v>3</v>
      </c>
      <c r="N129" s="5" t="s">
        <v>6</v>
      </c>
      <c r="O129" s="5">
        <v>2</v>
      </c>
      <c r="P129" s="5">
        <f>ROUND(Source!DL108,O129)</f>
        <v>0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207</v>
      </c>
      <c r="F130" s="5">
        <f>Source!U108</f>
        <v>474.07652999999999</v>
      </c>
      <c r="G130" s="5" t="s">
        <v>163</v>
      </c>
      <c r="H130" s="5" t="s">
        <v>164</v>
      </c>
      <c r="I130" s="5"/>
      <c r="J130" s="5"/>
      <c r="K130" s="5">
        <v>207</v>
      </c>
      <c r="L130" s="5">
        <v>21</v>
      </c>
      <c r="M130" s="5">
        <v>3</v>
      </c>
      <c r="N130" s="5" t="s">
        <v>6</v>
      </c>
      <c r="O130" s="5">
        <v>-1</v>
      </c>
      <c r="P130" s="5">
        <f>Source!DM108</f>
        <v>474.07652999999999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208</v>
      </c>
      <c r="F131" s="5">
        <f>Source!V108</f>
        <v>12.734423999999997</v>
      </c>
      <c r="G131" s="5" t="s">
        <v>165</v>
      </c>
      <c r="H131" s="5" t="s">
        <v>166</v>
      </c>
      <c r="I131" s="5"/>
      <c r="J131" s="5"/>
      <c r="K131" s="5">
        <v>208</v>
      </c>
      <c r="L131" s="5">
        <v>22</v>
      </c>
      <c r="M131" s="5">
        <v>3</v>
      </c>
      <c r="N131" s="5" t="s">
        <v>6</v>
      </c>
      <c r="O131" s="5">
        <v>-1</v>
      </c>
      <c r="P131" s="5">
        <f>Source!DN108</f>
        <v>12.734423999999997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209</v>
      </c>
      <c r="F132" s="5">
        <f>ROUND(Source!W108,O132)</f>
        <v>0</v>
      </c>
      <c r="G132" s="5" t="s">
        <v>167</v>
      </c>
      <c r="H132" s="5" t="s">
        <v>168</v>
      </c>
      <c r="I132" s="5"/>
      <c r="J132" s="5"/>
      <c r="K132" s="5">
        <v>209</v>
      </c>
      <c r="L132" s="5">
        <v>23</v>
      </c>
      <c r="M132" s="5">
        <v>3</v>
      </c>
      <c r="N132" s="5" t="s">
        <v>6</v>
      </c>
      <c r="O132" s="5">
        <v>2</v>
      </c>
      <c r="P132" s="5">
        <f>ROUND(Source!DO108,O132)</f>
        <v>0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0</v>
      </c>
      <c r="F133" s="5">
        <f>ROUND(Source!X108,O133)</f>
        <v>4041.31</v>
      </c>
      <c r="G133" s="5" t="s">
        <v>169</v>
      </c>
      <c r="H133" s="5" t="s">
        <v>170</v>
      </c>
      <c r="I133" s="5"/>
      <c r="J133" s="5"/>
      <c r="K133" s="5">
        <v>210</v>
      </c>
      <c r="L133" s="5">
        <v>24</v>
      </c>
      <c r="M133" s="5">
        <v>3</v>
      </c>
      <c r="N133" s="5" t="s">
        <v>6</v>
      </c>
      <c r="O133" s="5">
        <v>2</v>
      </c>
      <c r="P133" s="5">
        <f>ROUND(Source!DP108,O133)</f>
        <v>24207.3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0</v>
      </c>
      <c r="F134" s="5">
        <f>ROUND(Source!Y108,O134)</f>
        <v>2329.4699999999998</v>
      </c>
      <c r="G134" s="5" t="s">
        <v>171</v>
      </c>
      <c r="H134" s="5" t="s">
        <v>172</v>
      </c>
      <c r="I134" s="5"/>
      <c r="J134" s="5"/>
      <c r="K134" s="5">
        <v>211</v>
      </c>
      <c r="L134" s="5">
        <v>25</v>
      </c>
      <c r="M134" s="5">
        <v>3</v>
      </c>
      <c r="N134" s="5" t="s">
        <v>6</v>
      </c>
      <c r="O134" s="5">
        <v>2</v>
      </c>
      <c r="P134" s="5">
        <f>ROUND(Source!DQ108,O134)</f>
        <v>13953.36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0</v>
      </c>
      <c r="C135" s="5">
        <v>0</v>
      </c>
      <c r="D135" s="5">
        <v>1</v>
      </c>
      <c r="E135" s="5">
        <v>224</v>
      </c>
      <c r="F135" s="5">
        <f>ROUND(Source!AR108,O135)</f>
        <v>239543.75</v>
      </c>
      <c r="G135" s="5" t="s">
        <v>173</v>
      </c>
      <c r="H135" s="5" t="s">
        <v>174</v>
      </c>
      <c r="I135" s="5"/>
      <c r="J135" s="5"/>
      <c r="K135" s="5">
        <v>224</v>
      </c>
      <c r="L135" s="5">
        <v>26</v>
      </c>
      <c r="M135" s="5">
        <v>3</v>
      </c>
      <c r="N135" s="5" t="s">
        <v>6</v>
      </c>
      <c r="O135" s="5">
        <v>2</v>
      </c>
      <c r="P135" s="5">
        <f>ROUND(Source!EJ108,O135)</f>
        <v>1434866.65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0</v>
      </c>
      <c r="C136" s="5">
        <v>0</v>
      </c>
      <c r="D136" s="5">
        <v>2</v>
      </c>
      <c r="E136" s="5">
        <v>201</v>
      </c>
      <c r="F136" s="5">
        <f>ROUND(ROUND(F110,2),O136)</f>
        <v>232998.25</v>
      </c>
      <c r="G136" s="5" t="s">
        <v>175</v>
      </c>
      <c r="H136" s="5" t="s">
        <v>176</v>
      </c>
      <c r="I136" s="5"/>
      <c r="J136" s="5"/>
      <c r="K136" s="5">
        <v>212</v>
      </c>
      <c r="L136" s="5">
        <v>27</v>
      </c>
      <c r="M136" s="5">
        <v>3</v>
      </c>
      <c r="N136" s="5" t="s">
        <v>6</v>
      </c>
      <c r="O136" s="5">
        <v>2</v>
      </c>
      <c r="P136" s="5">
        <f>ROUND(ROUND(P110,2),O136)</f>
        <v>1395659.44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0</v>
      </c>
      <c r="C137" s="5">
        <v>0</v>
      </c>
      <c r="D137" s="5">
        <v>2</v>
      </c>
      <c r="E137" s="5">
        <v>210</v>
      </c>
      <c r="F137" s="5">
        <f>ROUND(ROUND(F133,2),O137)</f>
        <v>4041.31</v>
      </c>
      <c r="G137" s="5" t="s">
        <v>177</v>
      </c>
      <c r="H137" s="5" t="s">
        <v>170</v>
      </c>
      <c r="I137" s="5"/>
      <c r="J137" s="5"/>
      <c r="K137" s="5">
        <v>212</v>
      </c>
      <c r="L137" s="5">
        <v>28</v>
      </c>
      <c r="M137" s="5">
        <v>3</v>
      </c>
      <c r="N137" s="5" t="s">
        <v>6</v>
      </c>
      <c r="O137" s="5">
        <v>2</v>
      </c>
      <c r="P137" s="5">
        <f>ROUND(ROUND(P133,2),O137)</f>
        <v>24207.3</v>
      </c>
      <c r="Q137" s="5"/>
      <c r="R137" s="5"/>
      <c r="S137" s="5"/>
      <c r="T137" s="5"/>
      <c r="U137" s="5"/>
      <c r="V137" s="5"/>
      <c r="W137" s="5"/>
    </row>
    <row r="138" spans="1:23" x14ac:dyDescent="0.2">
      <c r="A138" s="5">
        <v>50</v>
      </c>
      <c r="B138" s="5">
        <v>0</v>
      </c>
      <c r="C138" s="5">
        <v>0</v>
      </c>
      <c r="D138" s="5">
        <v>2</v>
      </c>
      <c r="E138" s="5">
        <v>211</v>
      </c>
      <c r="F138" s="5">
        <f>ROUND(ROUND(F134,2),O138)</f>
        <v>2329.4699999999998</v>
      </c>
      <c r="G138" s="5" t="s">
        <v>178</v>
      </c>
      <c r="H138" s="5" t="s">
        <v>172</v>
      </c>
      <c r="I138" s="5"/>
      <c r="J138" s="5"/>
      <c r="K138" s="5">
        <v>212</v>
      </c>
      <c r="L138" s="5">
        <v>29</v>
      </c>
      <c r="M138" s="5">
        <v>3</v>
      </c>
      <c r="N138" s="5" t="s">
        <v>6</v>
      </c>
      <c r="O138" s="5">
        <v>2</v>
      </c>
      <c r="P138" s="5">
        <f>ROUND(ROUND(P134,2),O138)</f>
        <v>13953.36</v>
      </c>
      <c r="Q138" s="5"/>
      <c r="R138" s="5"/>
      <c r="S138" s="5"/>
      <c r="T138" s="5"/>
      <c r="U138" s="5"/>
      <c r="V138" s="5"/>
      <c r="W138" s="5"/>
    </row>
    <row r="139" spans="1:23" x14ac:dyDescent="0.2">
      <c r="A139" s="5">
        <v>50</v>
      </c>
      <c r="B139" s="5">
        <v>0</v>
      </c>
      <c r="C139" s="5">
        <v>0</v>
      </c>
      <c r="D139" s="5">
        <v>2</v>
      </c>
      <c r="E139" s="5">
        <v>0</v>
      </c>
      <c r="F139" s="5">
        <f>ROUND(F136+F137+F138,O139)</f>
        <v>239369.03</v>
      </c>
      <c r="G139" s="5" t="s">
        <v>179</v>
      </c>
      <c r="H139" s="5" t="s">
        <v>180</v>
      </c>
      <c r="I139" s="5"/>
      <c r="J139" s="5"/>
      <c r="K139" s="5">
        <v>212</v>
      </c>
      <c r="L139" s="5">
        <v>30</v>
      </c>
      <c r="M139" s="5">
        <v>3</v>
      </c>
      <c r="N139" s="5" t="s">
        <v>6</v>
      </c>
      <c r="O139" s="5">
        <v>2</v>
      </c>
      <c r="P139" s="5">
        <f>ROUND(P136+P137+P138,O139)</f>
        <v>1433820.1</v>
      </c>
      <c r="Q139" s="5"/>
      <c r="R139" s="5"/>
      <c r="S139" s="5"/>
      <c r="T139" s="5"/>
      <c r="U139" s="5"/>
      <c r="V139" s="5"/>
      <c r="W139" s="5"/>
    </row>
    <row r="140" spans="1:23" x14ac:dyDescent="0.2">
      <c r="A140" s="5">
        <v>50</v>
      </c>
      <c r="B140" s="5">
        <v>0</v>
      </c>
      <c r="C140" s="5">
        <v>0</v>
      </c>
      <c r="D140" s="5">
        <v>2</v>
      </c>
      <c r="E140" s="5">
        <v>0</v>
      </c>
      <c r="F140" s="5">
        <f>0</f>
        <v>0</v>
      </c>
      <c r="G140" s="5" t="s">
        <v>181</v>
      </c>
      <c r="H140" s="5" t="s">
        <v>182</v>
      </c>
      <c r="I140" s="5"/>
      <c r="J140" s="5"/>
      <c r="K140" s="5">
        <v>212</v>
      </c>
      <c r="L140" s="5">
        <v>31</v>
      </c>
      <c r="M140" s="5">
        <v>3</v>
      </c>
      <c r="N140" s="5" t="s">
        <v>6</v>
      </c>
      <c r="O140" s="5">
        <v>-1</v>
      </c>
      <c r="P140" s="5">
        <f>0</f>
        <v>0</v>
      </c>
      <c r="Q140" s="5"/>
      <c r="R140" s="5"/>
      <c r="S140" s="5"/>
      <c r="T140" s="5"/>
      <c r="U140" s="5"/>
      <c r="V140" s="5"/>
      <c r="W140" s="5"/>
    </row>
    <row r="141" spans="1:23" x14ac:dyDescent="0.2">
      <c r="A141" s="5">
        <v>50</v>
      </c>
      <c r="B141" s="5">
        <v>1</v>
      </c>
      <c r="C141" s="5">
        <v>0</v>
      </c>
      <c r="D141" s="5">
        <v>2</v>
      </c>
      <c r="E141" s="5">
        <v>0</v>
      </c>
      <c r="F141" s="5">
        <f>ROUND(F139+F140,O141)</f>
        <v>239369.03</v>
      </c>
      <c r="G141" s="5" t="s">
        <v>183</v>
      </c>
      <c r="H141" s="5" t="s">
        <v>180</v>
      </c>
      <c r="I141" s="5"/>
      <c r="J141" s="5"/>
      <c r="K141" s="5">
        <v>212</v>
      </c>
      <c r="L141" s="5">
        <v>32</v>
      </c>
      <c r="M141" s="5">
        <v>0</v>
      </c>
      <c r="N141" s="5" t="s">
        <v>6</v>
      </c>
      <c r="O141" s="5">
        <v>2</v>
      </c>
      <c r="P141" s="5">
        <f>ROUND(P139+P140,O141)</f>
        <v>1433820.1</v>
      </c>
      <c r="Q141" s="5"/>
      <c r="R141" s="5"/>
      <c r="S141" s="5"/>
      <c r="T141" s="5"/>
      <c r="U141" s="5"/>
      <c r="V141" s="5"/>
      <c r="W141" s="5"/>
    </row>
    <row r="142" spans="1:23" x14ac:dyDescent="0.2">
      <c r="A142" s="5">
        <v>50</v>
      </c>
      <c r="B142" s="5">
        <v>1</v>
      </c>
      <c r="C142" s="5">
        <v>0</v>
      </c>
      <c r="D142" s="5">
        <v>2</v>
      </c>
      <c r="E142" s="5">
        <v>0</v>
      </c>
      <c r="F142" s="5">
        <f>ROUND(ROUND(F141*0.18,2),O142)</f>
        <v>43086.43</v>
      </c>
      <c r="G142" s="5" t="s">
        <v>184</v>
      </c>
      <c r="H142" s="5" t="s">
        <v>185</v>
      </c>
      <c r="I142" s="5"/>
      <c r="J142" s="5"/>
      <c r="K142" s="5">
        <v>212</v>
      </c>
      <c r="L142" s="5">
        <v>33</v>
      </c>
      <c r="M142" s="5">
        <v>0</v>
      </c>
      <c r="N142" s="5" t="s">
        <v>6</v>
      </c>
      <c r="O142" s="5">
        <v>2</v>
      </c>
      <c r="P142" s="5">
        <f>ROUND(ROUND(P141*0.18,2),O142)</f>
        <v>258087.62</v>
      </c>
      <c r="Q142" s="5"/>
      <c r="R142" s="5"/>
      <c r="S142" s="5"/>
      <c r="T142" s="5"/>
      <c r="U142" s="5"/>
      <c r="V142" s="5"/>
      <c r="W142" s="5"/>
    </row>
    <row r="143" spans="1:23" x14ac:dyDescent="0.2">
      <c r="A143" s="5">
        <v>50</v>
      </c>
      <c r="B143" s="5">
        <v>1</v>
      </c>
      <c r="C143" s="5">
        <v>0</v>
      </c>
      <c r="D143" s="5">
        <v>2</v>
      </c>
      <c r="E143" s="5">
        <v>213</v>
      </c>
      <c r="F143" s="5">
        <f>ROUND(F141+F142,O143)</f>
        <v>282455.46000000002</v>
      </c>
      <c r="G143" s="5" t="s">
        <v>186</v>
      </c>
      <c r="H143" s="5" t="s">
        <v>173</v>
      </c>
      <c r="I143" s="5"/>
      <c r="J143" s="5"/>
      <c r="K143" s="5">
        <v>212</v>
      </c>
      <c r="L143" s="5">
        <v>34</v>
      </c>
      <c r="M143" s="5">
        <v>0</v>
      </c>
      <c r="N143" s="5" t="s">
        <v>6</v>
      </c>
      <c r="O143" s="5">
        <v>2</v>
      </c>
      <c r="P143" s="5">
        <f>ROUND(P141+P142,O143)</f>
        <v>1691907.72</v>
      </c>
      <c r="Q143" s="5"/>
      <c r="R143" s="5"/>
      <c r="S143" s="5"/>
      <c r="T143" s="5"/>
      <c r="U143" s="5"/>
      <c r="V143" s="5"/>
      <c r="W143" s="5"/>
    </row>
    <row r="146" spans="1:15" x14ac:dyDescent="0.2">
      <c r="A146">
        <v>70</v>
      </c>
      <c r="B146">
        <v>1</v>
      </c>
      <c r="D146">
        <v>1</v>
      </c>
      <c r="E146" t="s">
        <v>187</v>
      </c>
      <c r="F146" t="s">
        <v>188</v>
      </c>
      <c r="G146">
        <v>0</v>
      </c>
      <c r="H146">
        <v>0</v>
      </c>
      <c r="I146" t="s">
        <v>6</v>
      </c>
      <c r="J146">
        <v>1</v>
      </c>
      <c r="K146">
        <v>0</v>
      </c>
      <c r="L146" t="s">
        <v>6</v>
      </c>
      <c r="M146" t="s">
        <v>6</v>
      </c>
      <c r="N146">
        <v>0</v>
      </c>
      <c r="O146">
        <v>0</v>
      </c>
    </row>
    <row r="147" spans="1:15" x14ac:dyDescent="0.2">
      <c r="A147">
        <v>70</v>
      </c>
      <c r="B147">
        <v>1</v>
      </c>
      <c r="D147">
        <v>2</v>
      </c>
      <c r="E147" t="s">
        <v>189</v>
      </c>
      <c r="F147" t="s">
        <v>190</v>
      </c>
      <c r="G147">
        <v>1</v>
      </c>
      <c r="H147">
        <v>0</v>
      </c>
      <c r="I147" t="s">
        <v>6</v>
      </c>
      <c r="J147">
        <v>1</v>
      </c>
      <c r="K147">
        <v>0</v>
      </c>
      <c r="L147" t="s">
        <v>6</v>
      </c>
      <c r="M147" t="s">
        <v>6</v>
      </c>
      <c r="N147">
        <v>0</v>
      </c>
      <c r="O147">
        <v>1</v>
      </c>
    </row>
    <row r="148" spans="1:15" x14ac:dyDescent="0.2">
      <c r="A148">
        <v>70</v>
      </c>
      <c r="B148">
        <v>1</v>
      </c>
      <c r="D148">
        <v>3</v>
      </c>
      <c r="E148" t="s">
        <v>191</v>
      </c>
      <c r="F148" t="s">
        <v>192</v>
      </c>
      <c r="G148">
        <v>0</v>
      </c>
      <c r="H148">
        <v>0</v>
      </c>
      <c r="I148" t="s">
        <v>6</v>
      </c>
      <c r="J148">
        <v>1</v>
      </c>
      <c r="K148">
        <v>0</v>
      </c>
      <c r="L148" t="s">
        <v>6</v>
      </c>
      <c r="M148" t="s">
        <v>6</v>
      </c>
      <c r="N148">
        <v>0</v>
      </c>
      <c r="O148">
        <v>0</v>
      </c>
    </row>
    <row r="149" spans="1:15" x14ac:dyDescent="0.2">
      <c r="A149">
        <v>70</v>
      </c>
      <c r="B149">
        <v>1</v>
      </c>
      <c r="D149">
        <v>4</v>
      </c>
      <c r="E149" t="s">
        <v>193</v>
      </c>
      <c r="F149" t="s">
        <v>194</v>
      </c>
      <c r="G149">
        <v>0</v>
      </c>
      <c r="H149">
        <v>0</v>
      </c>
      <c r="I149" t="s">
        <v>195</v>
      </c>
      <c r="J149">
        <v>0</v>
      </c>
      <c r="K149">
        <v>0</v>
      </c>
      <c r="L149" t="s">
        <v>6</v>
      </c>
      <c r="M149" t="s">
        <v>6</v>
      </c>
      <c r="N149">
        <v>0</v>
      </c>
      <c r="O149">
        <v>0</v>
      </c>
    </row>
    <row r="150" spans="1:15" x14ac:dyDescent="0.2">
      <c r="A150">
        <v>70</v>
      </c>
      <c r="B150">
        <v>1</v>
      </c>
      <c r="D150">
        <v>5</v>
      </c>
      <c r="E150" t="s">
        <v>196</v>
      </c>
      <c r="F150" t="s">
        <v>197</v>
      </c>
      <c r="G150">
        <v>0</v>
      </c>
      <c r="H150">
        <v>0</v>
      </c>
      <c r="I150" t="s">
        <v>198</v>
      </c>
      <c r="J150">
        <v>0</v>
      </c>
      <c r="K150">
        <v>0</v>
      </c>
      <c r="L150" t="s">
        <v>6</v>
      </c>
      <c r="M150" t="s">
        <v>6</v>
      </c>
      <c r="N150">
        <v>0</v>
      </c>
      <c r="O150">
        <v>0</v>
      </c>
    </row>
    <row r="151" spans="1:15" x14ac:dyDescent="0.2">
      <c r="A151">
        <v>70</v>
      </c>
      <c r="B151">
        <v>1</v>
      </c>
      <c r="D151">
        <v>6</v>
      </c>
      <c r="E151" t="s">
        <v>199</v>
      </c>
      <c r="F151" t="s">
        <v>200</v>
      </c>
      <c r="G151">
        <v>0</v>
      </c>
      <c r="H151">
        <v>0</v>
      </c>
      <c r="I151" t="s">
        <v>201</v>
      </c>
      <c r="J151">
        <v>0</v>
      </c>
      <c r="K151">
        <v>0</v>
      </c>
      <c r="L151" t="s">
        <v>6</v>
      </c>
      <c r="M151" t="s">
        <v>6</v>
      </c>
      <c r="N151">
        <v>0</v>
      </c>
      <c r="O151">
        <v>0</v>
      </c>
    </row>
    <row r="152" spans="1:15" x14ac:dyDescent="0.2">
      <c r="A152">
        <v>70</v>
      </c>
      <c r="B152">
        <v>1</v>
      </c>
      <c r="D152">
        <v>7</v>
      </c>
      <c r="E152" t="s">
        <v>202</v>
      </c>
      <c r="F152" t="s">
        <v>203</v>
      </c>
      <c r="G152">
        <v>0</v>
      </c>
      <c r="H152">
        <v>0</v>
      </c>
      <c r="I152" t="s">
        <v>6</v>
      </c>
      <c r="J152">
        <v>0</v>
      </c>
      <c r="K152">
        <v>0</v>
      </c>
      <c r="L152" t="s">
        <v>6</v>
      </c>
      <c r="M152" t="s">
        <v>6</v>
      </c>
      <c r="N152">
        <v>0</v>
      </c>
      <c r="O152">
        <v>0</v>
      </c>
    </row>
    <row r="153" spans="1:15" x14ac:dyDescent="0.2">
      <c r="A153">
        <v>70</v>
      </c>
      <c r="B153">
        <v>1</v>
      </c>
      <c r="D153">
        <v>8</v>
      </c>
      <c r="E153" t="s">
        <v>204</v>
      </c>
      <c r="F153" t="s">
        <v>205</v>
      </c>
      <c r="G153">
        <v>0</v>
      </c>
      <c r="H153">
        <v>0</v>
      </c>
      <c r="I153" t="s">
        <v>206</v>
      </c>
      <c r="J153">
        <v>0</v>
      </c>
      <c r="K153">
        <v>0</v>
      </c>
      <c r="L153" t="s">
        <v>6</v>
      </c>
      <c r="M153" t="s">
        <v>6</v>
      </c>
      <c r="N153">
        <v>0</v>
      </c>
      <c r="O153">
        <v>0</v>
      </c>
    </row>
    <row r="154" spans="1:15" x14ac:dyDescent="0.2">
      <c r="A154">
        <v>70</v>
      </c>
      <c r="B154">
        <v>1</v>
      </c>
      <c r="D154">
        <v>9</v>
      </c>
      <c r="E154" t="s">
        <v>207</v>
      </c>
      <c r="F154" t="s">
        <v>208</v>
      </c>
      <c r="G154">
        <v>0</v>
      </c>
      <c r="H154">
        <v>0</v>
      </c>
      <c r="I154" t="s">
        <v>209</v>
      </c>
      <c r="J154">
        <v>0</v>
      </c>
      <c r="K154">
        <v>0</v>
      </c>
      <c r="L154" t="s">
        <v>6</v>
      </c>
      <c r="M154" t="s">
        <v>6</v>
      </c>
      <c r="N154">
        <v>0</v>
      </c>
      <c r="O154">
        <v>0</v>
      </c>
    </row>
    <row r="155" spans="1:15" x14ac:dyDescent="0.2">
      <c r="A155">
        <v>70</v>
      </c>
      <c r="B155">
        <v>1</v>
      </c>
      <c r="D155">
        <v>10</v>
      </c>
      <c r="E155" t="s">
        <v>210</v>
      </c>
      <c r="F155" t="s">
        <v>211</v>
      </c>
      <c r="G155">
        <v>0</v>
      </c>
      <c r="H155">
        <v>0</v>
      </c>
      <c r="I155" t="s">
        <v>212</v>
      </c>
      <c r="J155">
        <v>0</v>
      </c>
      <c r="K155">
        <v>0</v>
      </c>
      <c r="L155" t="s">
        <v>6</v>
      </c>
      <c r="M155" t="s">
        <v>6</v>
      </c>
      <c r="N155">
        <v>0</v>
      </c>
      <c r="O155">
        <v>0</v>
      </c>
    </row>
    <row r="156" spans="1:15" x14ac:dyDescent="0.2">
      <c r="A156">
        <v>70</v>
      </c>
      <c r="B156">
        <v>1</v>
      </c>
      <c r="D156">
        <v>11</v>
      </c>
      <c r="E156" t="s">
        <v>213</v>
      </c>
      <c r="F156" t="s">
        <v>214</v>
      </c>
      <c r="G156">
        <v>0</v>
      </c>
      <c r="H156">
        <v>0</v>
      </c>
      <c r="I156" t="s">
        <v>215</v>
      </c>
      <c r="J156">
        <v>0</v>
      </c>
      <c r="K156">
        <v>0</v>
      </c>
      <c r="L156" t="s">
        <v>6</v>
      </c>
      <c r="M156" t="s">
        <v>6</v>
      </c>
      <c r="N156">
        <v>0</v>
      </c>
      <c r="O156">
        <v>0</v>
      </c>
    </row>
    <row r="157" spans="1:15" x14ac:dyDescent="0.2">
      <c r="A157">
        <v>70</v>
      </c>
      <c r="B157">
        <v>1</v>
      </c>
      <c r="D157">
        <v>12</v>
      </c>
      <c r="E157" t="s">
        <v>216</v>
      </c>
      <c r="F157" t="s">
        <v>217</v>
      </c>
      <c r="G157">
        <v>0</v>
      </c>
      <c r="H157">
        <v>0</v>
      </c>
      <c r="I157" t="s">
        <v>6</v>
      </c>
      <c r="J157">
        <v>0</v>
      </c>
      <c r="K157">
        <v>0</v>
      </c>
      <c r="L157" t="s">
        <v>6</v>
      </c>
      <c r="M157" t="s">
        <v>6</v>
      </c>
      <c r="N157">
        <v>0</v>
      </c>
      <c r="O157">
        <v>0</v>
      </c>
    </row>
    <row r="158" spans="1:15" x14ac:dyDescent="0.2">
      <c r="A158">
        <v>70</v>
      </c>
      <c r="B158">
        <v>1</v>
      </c>
      <c r="D158">
        <v>1</v>
      </c>
      <c r="E158" t="s">
        <v>218</v>
      </c>
      <c r="F158" t="s">
        <v>219</v>
      </c>
      <c r="G158">
        <v>0.9</v>
      </c>
      <c r="H158">
        <v>1</v>
      </c>
      <c r="I158" t="s">
        <v>220</v>
      </c>
      <c r="J158">
        <v>0</v>
      </c>
      <c r="K158">
        <v>0</v>
      </c>
      <c r="L158" t="s">
        <v>6</v>
      </c>
      <c r="M158" t="s">
        <v>6</v>
      </c>
      <c r="N158">
        <v>0</v>
      </c>
      <c r="O158">
        <v>0.9</v>
      </c>
    </row>
    <row r="159" spans="1:15" x14ac:dyDescent="0.2">
      <c r="A159">
        <v>70</v>
      </c>
      <c r="B159">
        <v>1</v>
      </c>
      <c r="D159">
        <v>2</v>
      </c>
      <c r="E159" t="s">
        <v>221</v>
      </c>
      <c r="F159" t="s">
        <v>222</v>
      </c>
      <c r="G159">
        <v>0.85</v>
      </c>
      <c r="H159">
        <v>1</v>
      </c>
      <c r="I159" t="s">
        <v>223</v>
      </c>
      <c r="J159">
        <v>0</v>
      </c>
      <c r="K159">
        <v>0</v>
      </c>
      <c r="L159" t="s">
        <v>6</v>
      </c>
      <c r="M159" t="s">
        <v>6</v>
      </c>
      <c r="N159">
        <v>0</v>
      </c>
      <c r="O159">
        <v>0.85</v>
      </c>
    </row>
    <row r="160" spans="1:15" x14ac:dyDescent="0.2">
      <c r="A160">
        <v>70</v>
      </c>
      <c r="B160">
        <v>1</v>
      </c>
      <c r="D160">
        <v>3</v>
      </c>
      <c r="E160" t="s">
        <v>224</v>
      </c>
      <c r="F160" t="s">
        <v>225</v>
      </c>
      <c r="G160">
        <v>1</v>
      </c>
      <c r="H160">
        <v>0.85</v>
      </c>
      <c r="I160" t="s">
        <v>226</v>
      </c>
      <c r="J160">
        <v>0</v>
      </c>
      <c r="K160">
        <v>0</v>
      </c>
      <c r="L160" t="s">
        <v>6</v>
      </c>
      <c r="M160" t="s">
        <v>6</v>
      </c>
      <c r="N160">
        <v>0</v>
      </c>
      <c r="O160">
        <v>1</v>
      </c>
    </row>
    <row r="161" spans="1:34" x14ac:dyDescent="0.2">
      <c r="A161">
        <v>70</v>
      </c>
      <c r="B161">
        <v>1</v>
      </c>
      <c r="D161">
        <v>4</v>
      </c>
      <c r="E161" t="s">
        <v>227</v>
      </c>
      <c r="F161" t="s">
        <v>228</v>
      </c>
      <c r="G161">
        <v>1</v>
      </c>
      <c r="H161">
        <v>0</v>
      </c>
      <c r="I161" t="s">
        <v>6</v>
      </c>
      <c r="J161">
        <v>0</v>
      </c>
      <c r="K161">
        <v>0</v>
      </c>
      <c r="L161" t="s">
        <v>6</v>
      </c>
      <c r="M161" t="s">
        <v>6</v>
      </c>
      <c r="N161">
        <v>0</v>
      </c>
      <c r="O161">
        <v>1</v>
      </c>
    </row>
    <row r="162" spans="1:34" x14ac:dyDescent="0.2">
      <c r="A162">
        <v>70</v>
      </c>
      <c r="B162">
        <v>1</v>
      </c>
      <c r="D162">
        <v>5</v>
      </c>
      <c r="E162" t="s">
        <v>229</v>
      </c>
      <c r="F162" t="s">
        <v>230</v>
      </c>
      <c r="G162">
        <v>1</v>
      </c>
      <c r="H162">
        <v>0.8</v>
      </c>
      <c r="I162" t="s">
        <v>231</v>
      </c>
      <c r="J162">
        <v>0</v>
      </c>
      <c r="K162">
        <v>0</v>
      </c>
      <c r="L162" t="s">
        <v>6</v>
      </c>
      <c r="M162" t="s">
        <v>6</v>
      </c>
      <c r="N162">
        <v>0</v>
      </c>
      <c r="O162">
        <v>1</v>
      </c>
    </row>
    <row r="163" spans="1:34" x14ac:dyDescent="0.2">
      <c r="A163">
        <v>70</v>
      </c>
      <c r="B163">
        <v>1</v>
      </c>
      <c r="D163">
        <v>6</v>
      </c>
      <c r="E163" t="s">
        <v>232</v>
      </c>
      <c r="F163" t="s">
        <v>233</v>
      </c>
      <c r="G163">
        <v>1</v>
      </c>
      <c r="H163">
        <v>0</v>
      </c>
      <c r="I163" t="s">
        <v>6</v>
      </c>
      <c r="J163">
        <v>0</v>
      </c>
      <c r="K163">
        <v>0</v>
      </c>
      <c r="L163" t="s">
        <v>6</v>
      </c>
      <c r="M163" t="s">
        <v>6</v>
      </c>
      <c r="N163">
        <v>0</v>
      </c>
      <c r="O163">
        <v>0.85</v>
      </c>
    </row>
    <row r="164" spans="1:34" x14ac:dyDescent="0.2">
      <c r="A164">
        <v>70</v>
      </c>
      <c r="B164">
        <v>1</v>
      </c>
      <c r="D164">
        <v>7</v>
      </c>
      <c r="E164" t="s">
        <v>234</v>
      </c>
      <c r="F164" t="s">
        <v>235</v>
      </c>
      <c r="G164">
        <v>1</v>
      </c>
      <c r="H164">
        <v>0</v>
      </c>
      <c r="I164" t="s">
        <v>6</v>
      </c>
      <c r="J164">
        <v>0</v>
      </c>
      <c r="K164">
        <v>0</v>
      </c>
      <c r="L164" t="s">
        <v>6</v>
      </c>
      <c r="M164" t="s">
        <v>6</v>
      </c>
      <c r="N164">
        <v>0</v>
      </c>
      <c r="O164">
        <v>0.8</v>
      </c>
    </row>
    <row r="165" spans="1:34" x14ac:dyDescent="0.2">
      <c r="A165">
        <v>70</v>
      </c>
      <c r="B165">
        <v>1</v>
      </c>
      <c r="D165">
        <v>8</v>
      </c>
      <c r="E165" t="s">
        <v>236</v>
      </c>
      <c r="F165" t="s">
        <v>237</v>
      </c>
      <c r="G165">
        <v>0.7</v>
      </c>
      <c r="H165">
        <v>0</v>
      </c>
      <c r="I165" t="s">
        <v>6</v>
      </c>
      <c r="J165">
        <v>0</v>
      </c>
      <c r="K165">
        <v>0</v>
      </c>
      <c r="L165" t="s">
        <v>6</v>
      </c>
      <c r="M165" t="s">
        <v>6</v>
      </c>
      <c r="N165">
        <v>0</v>
      </c>
      <c r="O165">
        <v>0.94</v>
      </c>
    </row>
    <row r="166" spans="1:34" x14ac:dyDescent="0.2">
      <c r="A166">
        <v>70</v>
      </c>
      <c r="B166">
        <v>1</v>
      </c>
      <c r="D166">
        <v>9</v>
      </c>
      <c r="E166" t="s">
        <v>238</v>
      </c>
      <c r="F166" t="s">
        <v>239</v>
      </c>
      <c r="G166">
        <v>0.9</v>
      </c>
      <c r="H166">
        <v>0</v>
      </c>
      <c r="I166" t="s">
        <v>6</v>
      </c>
      <c r="J166">
        <v>0</v>
      </c>
      <c r="K166">
        <v>0</v>
      </c>
      <c r="L166" t="s">
        <v>6</v>
      </c>
      <c r="M166" t="s">
        <v>6</v>
      </c>
      <c r="N166">
        <v>0</v>
      </c>
      <c r="O166">
        <v>0.9</v>
      </c>
    </row>
    <row r="167" spans="1:34" x14ac:dyDescent="0.2">
      <c r="A167">
        <v>70</v>
      </c>
      <c r="B167">
        <v>1</v>
      </c>
      <c r="D167">
        <v>10</v>
      </c>
      <c r="E167" t="s">
        <v>240</v>
      </c>
      <c r="F167" t="s">
        <v>241</v>
      </c>
      <c r="G167">
        <v>0.6</v>
      </c>
      <c r="H167">
        <v>0</v>
      </c>
      <c r="I167" t="s">
        <v>6</v>
      </c>
      <c r="J167">
        <v>0</v>
      </c>
      <c r="K167">
        <v>0</v>
      </c>
      <c r="L167" t="s">
        <v>6</v>
      </c>
      <c r="M167" t="s">
        <v>6</v>
      </c>
      <c r="N167">
        <v>0</v>
      </c>
      <c r="O167">
        <v>0.6</v>
      </c>
    </row>
    <row r="168" spans="1:34" x14ac:dyDescent="0.2">
      <c r="A168">
        <v>70</v>
      </c>
      <c r="B168">
        <v>1</v>
      </c>
      <c r="D168">
        <v>11</v>
      </c>
      <c r="E168" t="s">
        <v>242</v>
      </c>
      <c r="F168" t="s">
        <v>243</v>
      </c>
      <c r="G168">
        <v>1.2</v>
      </c>
      <c r="H168">
        <v>0</v>
      </c>
      <c r="I168" t="s">
        <v>6</v>
      </c>
      <c r="J168">
        <v>0</v>
      </c>
      <c r="K168">
        <v>0</v>
      </c>
      <c r="L168" t="s">
        <v>6</v>
      </c>
      <c r="M168" t="s">
        <v>6</v>
      </c>
      <c r="N168">
        <v>0</v>
      </c>
      <c r="O168">
        <v>1.2</v>
      </c>
    </row>
    <row r="169" spans="1:34" x14ac:dyDescent="0.2">
      <c r="A169">
        <v>70</v>
      </c>
      <c r="B169">
        <v>1</v>
      </c>
      <c r="D169">
        <v>12</v>
      </c>
      <c r="E169" t="s">
        <v>244</v>
      </c>
      <c r="F169" t="s">
        <v>245</v>
      </c>
      <c r="G169">
        <v>0</v>
      </c>
      <c r="H169">
        <v>0</v>
      </c>
      <c r="I169" t="s">
        <v>6</v>
      </c>
      <c r="J169">
        <v>0</v>
      </c>
      <c r="K169">
        <v>0</v>
      </c>
      <c r="L169" t="s">
        <v>6</v>
      </c>
      <c r="M169" t="s">
        <v>6</v>
      </c>
      <c r="N169">
        <v>0</v>
      </c>
      <c r="O169">
        <v>0</v>
      </c>
    </row>
    <row r="170" spans="1:34" x14ac:dyDescent="0.2">
      <c r="A170">
        <v>70</v>
      </c>
      <c r="B170">
        <v>1</v>
      </c>
      <c r="D170">
        <v>13</v>
      </c>
      <c r="E170" t="s">
        <v>246</v>
      </c>
      <c r="F170" t="s">
        <v>247</v>
      </c>
      <c r="G170">
        <v>1</v>
      </c>
      <c r="H170">
        <v>0</v>
      </c>
      <c r="I170" t="s">
        <v>6</v>
      </c>
      <c r="J170">
        <v>0</v>
      </c>
      <c r="K170">
        <v>0</v>
      </c>
      <c r="L170" t="s">
        <v>6</v>
      </c>
      <c r="M170" t="s">
        <v>6</v>
      </c>
      <c r="N170">
        <v>0</v>
      </c>
      <c r="O170">
        <v>0.94</v>
      </c>
    </row>
    <row r="172" spans="1:34" x14ac:dyDescent="0.2">
      <c r="A172">
        <v>-1</v>
      </c>
    </row>
    <row r="174" spans="1:34" x14ac:dyDescent="0.2">
      <c r="A174" s="4">
        <v>75</v>
      </c>
      <c r="B174" s="4" t="s">
        <v>248</v>
      </c>
      <c r="C174" s="4">
        <v>2000</v>
      </c>
      <c r="D174" s="4">
        <v>0</v>
      </c>
      <c r="E174" s="4">
        <v>1</v>
      </c>
      <c r="F174" s="4">
        <v>0</v>
      </c>
      <c r="G174" s="4">
        <v>0</v>
      </c>
      <c r="H174" s="4">
        <v>1</v>
      </c>
      <c r="I174" s="4">
        <v>0</v>
      </c>
      <c r="J174" s="4">
        <v>1</v>
      </c>
      <c r="K174" s="4">
        <v>0</v>
      </c>
      <c r="L174" s="4">
        <v>0</v>
      </c>
      <c r="M174" s="4">
        <v>0</v>
      </c>
      <c r="N174" s="4">
        <v>16481626</v>
      </c>
      <c r="O174" s="4">
        <v>1</v>
      </c>
    </row>
    <row r="175" spans="1:34" x14ac:dyDescent="0.2">
      <c r="A175" s="4">
        <v>75</v>
      </c>
      <c r="B175" s="4" t="s">
        <v>249</v>
      </c>
      <c r="C175" s="4">
        <v>2017</v>
      </c>
      <c r="D175" s="4">
        <v>0</v>
      </c>
      <c r="E175" s="4">
        <v>1</v>
      </c>
      <c r="F175" s="4"/>
      <c r="G175" s="4">
        <v>0</v>
      </c>
      <c r="H175" s="4">
        <v>1</v>
      </c>
      <c r="I175" s="4">
        <v>0</v>
      </c>
      <c r="J175" s="4">
        <v>1</v>
      </c>
      <c r="K175" s="4">
        <v>0</v>
      </c>
      <c r="L175" s="4">
        <v>0</v>
      </c>
      <c r="M175" s="4">
        <v>1</v>
      </c>
      <c r="N175" s="4">
        <v>16481627</v>
      </c>
      <c r="O175" s="4">
        <v>2</v>
      </c>
    </row>
    <row r="176" spans="1:34" x14ac:dyDescent="0.2">
      <c r="A176" s="6">
        <v>3</v>
      </c>
      <c r="B176" s="6" t="s">
        <v>250</v>
      </c>
      <c r="C176" s="6">
        <v>5.99</v>
      </c>
      <c r="D176" s="6">
        <v>1</v>
      </c>
      <c r="E176" s="6">
        <v>1</v>
      </c>
      <c r="F176" s="6">
        <v>1</v>
      </c>
      <c r="G176" s="6">
        <v>1</v>
      </c>
      <c r="H176" s="6">
        <v>1</v>
      </c>
      <c r="I176" s="6">
        <v>1</v>
      </c>
      <c r="J176" s="6">
        <v>1</v>
      </c>
      <c r="K176" s="6">
        <v>1</v>
      </c>
      <c r="L176" s="6">
        <v>1</v>
      </c>
      <c r="M176" s="6">
        <v>5.99</v>
      </c>
      <c r="N176" s="6">
        <v>1</v>
      </c>
      <c r="O176" s="6">
        <v>1</v>
      </c>
      <c r="P176" s="6">
        <v>1</v>
      </c>
      <c r="Q176" s="6">
        <v>1</v>
      </c>
      <c r="R176" s="6">
        <v>1</v>
      </c>
      <c r="S176" s="6" t="s">
        <v>6</v>
      </c>
      <c r="T176" s="6" t="s">
        <v>6</v>
      </c>
      <c r="U176" s="6" t="s">
        <v>6</v>
      </c>
      <c r="V176" s="6" t="s">
        <v>6</v>
      </c>
      <c r="W176" s="6" t="s">
        <v>6</v>
      </c>
      <c r="X176" s="6" t="s">
        <v>6</v>
      </c>
      <c r="Y176" s="6" t="s">
        <v>6</v>
      </c>
      <c r="Z176" s="6" t="s">
        <v>6</v>
      </c>
      <c r="AA176" s="6" t="s">
        <v>6</v>
      </c>
      <c r="AB176" s="6" t="s">
        <v>6</v>
      </c>
      <c r="AC176" s="6" t="s">
        <v>6</v>
      </c>
      <c r="AD176" s="6" t="s">
        <v>6</v>
      </c>
      <c r="AE176" s="6" t="s">
        <v>6</v>
      </c>
      <c r="AF176" s="6" t="s">
        <v>6</v>
      </c>
      <c r="AG176" s="6" t="s">
        <v>6</v>
      </c>
      <c r="AH176" s="6" t="s">
        <v>6</v>
      </c>
    </row>
    <row r="180" spans="1:5" x14ac:dyDescent="0.2">
      <c r="A180">
        <v>65</v>
      </c>
      <c r="C180">
        <v>1</v>
      </c>
      <c r="D180">
        <v>0</v>
      </c>
      <c r="E18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6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251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58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16481626</v>
      </c>
      <c r="E14" s="1">
        <v>16481627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(Source!F88)/1000</f>
        <v>239.54374999999999</v>
      </c>
      <c r="F16" s="8">
        <f>(Source!F89)/1000</f>
        <v>0</v>
      </c>
      <c r="G16" s="8">
        <f>(Source!F80)/1000</f>
        <v>0</v>
      </c>
      <c r="H16" s="8">
        <f>(Source!F90)/1000+(Source!F91)/1000</f>
        <v>0</v>
      </c>
      <c r="I16" s="8">
        <f>E16+F16+G16+H16</f>
        <v>239.54374999999999</v>
      </c>
      <c r="J16" s="8">
        <f>(Source!F86)/1000</f>
        <v>4.0213200000000002</v>
      </c>
      <c r="T16" s="9">
        <f>(Source!P88)/1000</f>
        <v>1434.8666499999999</v>
      </c>
      <c r="U16" s="9">
        <f>(Source!P89)/1000</f>
        <v>0</v>
      </c>
      <c r="V16" s="9">
        <f>(Source!P80)/1000</f>
        <v>0</v>
      </c>
      <c r="W16" s="9">
        <f>(Source!P90)/1000+(Source!P91)/1000</f>
        <v>0</v>
      </c>
      <c r="X16" s="9">
        <f>T16+U16+V16+W16</f>
        <v>1434.8666499999999</v>
      </c>
      <c r="Y16" s="9">
        <f>(Source!P86)/1000</f>
        <v>24.08766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232998.25</v>
      </c>
      <c r="AU16" s="8">
        <v>228447.37</v>
      </c>
      <c r="AV16" s="8">
        <v>0</v>
      </c>
      <c r="AW16" s="8">
        <v>0</v>
      </c>
      <c r="AX16" s="8">
        <v>0</v>
      </c>
      <c r="AY16" s="8">
        <v>529.55999999999995</v>
      </c>
      <c r="AZ16" s="8">
        <v>164.69</v>
      </c>
      <c r="BA16" s="8">
        <v>4021.32</v>
      </c>
      <c r="BB16" s="8">
        <v>239543.75</v>
      </c>
      <c r="BC16" s="8">
        <v>0</v>
      </c>
      <c r="BD16" s="8">
        <v>0</v>
      </c>
      <c r="BE16" s="8">
        <v>0</v>
      </c>
      <c r="BF16" s="8">
        <v>474.07652999999999</v>
      </c>
      <c r="BG16" s="8">
        <v>12.734423999999997</v>
      </c>
      <c r="BH16" s="8">
        <v>0</v>
      </c>
      <c r="BI16" s="8">
        <v>4041.31</v>
      </c>
      <c r="BJ16" s="8">
        <v>2329.4699999999998</v>
      </c>
      <c r="BK16" s="8">
        <v>239543.75</v>
      </c>
      <c r="BR16" s="9">
        <v>1395659.44</v>
      </c>
      <c r="BS16" s="9">
        <v>1368399.65</v>
      </c>
      <c r="BT16" s="9">
        <v>0</v>
      </c>
      <c r="BU16" s="9">
        <v>0</v>
      </c>
      <c r="BV16" s="9">
        <v>0</v>
      </c>
      <c r="BW16" s="9">
        <v>3172.13</v>
      </c>
      <c r="BX16" s="9">
        <v>986.45</v>
      </c>
      <c r="BY16" s="9">
        <v>24087.66</v>
      </c>
      <c r="BZ16" s="9">
        <v>1434866.65</v>
      </c>
      <c r="CA16" s="9">
        <v>0</v>
      </c>
      <c r="CB16" s="9">
        <v>0</v>
      </c>
      <c r="CC16" s="9">
        <v>0</v>
      </c>
      <c r="CD16" s="9">
        <v>474.07652999999999</v>
      </c>
      <c r="CE16" s="9">
        <v>12.734423999999997</v>
      </c>
      <c r="CF16" s="9">
        <v>0</v>
      </c>
      <c r="CG16" s="9">
        <v>24207.3</v>
      </c>
      <c r="CH16" s="9">
        <v>13953.36</v>
      </c>
      <c r="CI16" s="9">
        <v>1434866.65</v>
      </c>
    </row>
    <row r="18" spans="1:40" x14ac:dyDescent="0.2">
      <c r="A18">
        <v>51</v>
      </c>
      <c r="E18" s="10">
        <f>SUMIF(A16:A17,3,E16:E17)</f>
        <v>239.54374999999999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239.54374999999999</v>
      </c>
      <c r="J18" s="10">
        <f>SUMIF(A16:A17,3,J16:J17)</f>
        <v>4.0213200000000002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1434.8666499999999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1434.8666499999999</v>
      </c>
      <c r="Y18" s="3">
        <f>SUMIF(A16:A17,3,Y16:Y17)</f>
        <v>24.08766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0</v>
      </c>
      <c r="F20" s="5">
        <v>232998.25</v>
      </c>
      <c r="G20" s="5" t="s">
        <v>123</v>
      </c>
      <c r="H20" s="5" t="s">
        <v>124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1395659.44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228447.37</v>
      </c>
      <c r="G21" s="5" t="s">
        <v>125</v>
      </c>
      <c r="H21" s="5" t="s">
        <v>126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1368399.65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127</v>
      </c>
      <c r="H22" s="5" t="s">
        <v>128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228447.37</v>
      </c>
      <c r="G23" s="5" t="s">
        <v>129</v>
      </c>
      <c r="H23" s="5" t="s">
        <v>130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1368399.65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228447.37</v>
      </c>
      <c r="G24" s="5" t="s">
        <v>131</v>
      </c>
      <c r="H24" s="5" t="s">
        <v>132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1368399.65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133</v>
      </c>
      <c r="H25" s="5" t="s">
        <v>134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228447.37</v>
      </c>
      <c r="G26" s="5" t="s">
        <v>135</v>
      </c>
      <c r="H26" s="5" t="s">
        <v>136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1368399.65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137</v>
      </c>
      <c r="H27" s="5" t="s">
        <v>138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139</v>
      </c>
      <c r="H28" s="5" t="s">
        <v>140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141</v>
      </c>
      <c r="H29" s="5" t="s">
        <v>142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529.55999999999995</v>
      </c>
      <c r="G30" s="5" t="s">
        <v>143</v>
      </c>
      <c r="H30" s="5" t="s">
        <v>144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3172.13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145</v>
      </c>
      <c r="H31" s="5" t="s">
        <v>146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164.69</v>
      </c>
      <c r="G32" s="5" t="s">
        <v>147</v>
      </c>
      <c r="H32" s="5" t="s">
        <v>148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986.45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4021.32</v>
      </c>
      <c r="G33" s="5" t="s">
        <v>149</v>
      </c>
      <c r="H33" s="5" t="s">
        <v>150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24087.66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151</v>
      </c>
      <c r="H34" s="5" t="s">
        <v>152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239543.75</v>
      </c>
      <c r="G35" s="5" t="s">
        <v>153</v>
      </c>
      <c r="H35" s="5" t="s">
        <v>154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1434866.65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155</v>
      </c>
      <c r="H36" s="5" t="s">
        <v>156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157</v>
      </c>
      <c r="H37" s="5" t="s">
        <v>158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159</v>
      </c>
      <c r="H38" s="5" t="s">
        <v>160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161</v>
      </c>
      <c r="H39" s="5" t="s">
        <v>162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474.07652999999999</v>
      </c>
      <c r="G40" s="5" t="s">
        <v>163</v>
      </c>
      <c r="H40" s="5" t="s">
        <v>164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474.07652999999999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12.734423999999997</v>
      </c>
      <c r="G41" s="5" t="s">
        <v>165</v>
      </c>
      <c r="H41" s="5" t="s">
        <v>166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12.734423999999997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167</v>
      </c>
      <c r="H42" s="5" t="s">
        <v>168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0</v>
      </c>
      <c r="F43" s="5">
        <v>4041.31</v>
      </c>
      <c r="G43" s="5" t="s">
        <v>169</v>
      </c>
      <c r="H43" s="5" t="s">
        <v>170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24207.3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0</v>
      </c>
      <c r="F44" s="5">
        <v>2329.4699999999998</v>
      </c>
      <c r="G44" s="5" t="s">
        <v>171</v>
      </c>
      <c r="H44" s="5" t="s">
        <v>172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13953.36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239543.75</v>
      </c>
      <c r="G45" s="5" t="s">
        <v>173</v>
      </c>
      <c r="H45" s="5" t="s">
        <v>174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1434866.65</v>
      </c>
    </row>
    <row r="46" spans="1:16" x14ac:dyDescent="0.2">
      <c r="A46" s="5">
        <v>50</v>
      </c>
      <c r="B46" s="5">
        <v>0</v>
      </c>
      <c r="C46" s="5">
        <v>0</v>
      </c>
      <c r="D46" s="5">
        <v>2</v>
      </c>
      <c r="E46" s="5">
        <v>201</v>
      </c>
      <c r="F46" s="5">
        <v>232998.25</v>
      </c>
      <c r="G46" s="5" t="s">
        <v>175</v>
      </c>
      <c r="H46" s="5" t="s">
        <v>176</v>
      </c>
      <c r="I46" s="5"/>
      <c r="J46" s="5"/>
      <c r="K46" s="5">
        <v>212</v>
      </c>
      <c r="L46" s="5">
        <v>27</v>
      </c>
      <c r="M46" s="5">
        <v>3</v>
      </c>
      <c r="N46" s="5" t="s">
        <v>6</v>
      </c>
      <c r="O46" s="5">
        <v>2</v>
      </c>
      <c r="P46" s="5">
        <v>1395659.44</v>
      </c>
    </row>
    <row r="47" spans="1:16" x14ac:dyDescent="0.2">
      <c r="A47" s="5">
        <v>50</v>
      </c>
      <c r="B47" s="5">
        <v>0</v>
      </c>
      <c r="C47" s="5">
        <v>0</v>
      </c>
      <c r="D47" s="5">
        <v>2</v>
      </c>
      <c r="E47" s="5">
        <v>210</v>
      </c>
      <c r="F47" s="5">
        <v>4041.31</v>
      </c>
      <c r="G47" s="5" t="s">
        <v>177</v>
      </c>
      <c r="H47" s="5" t="s">
        <v>170</v>
      </c>
      <c r="I47" s="5"/>
      <c r="J47" s="5"/>
      <c r="K47" s="5">
        <v>212</v>
      </c>
      <c r="L47" s="5">
        <v>28</v>
      </c>
      <c r="M47" s="5">
        <v>3</v>
      </c>
      <c r="N47" s="5" t="s">
        <v>6</v>
      </c>
      <c r="O47" s="5">
        <v>2</v>
      </c>
      <c r="P47" s="5">
        <v>24207.3</v>
      </c>
    </row>
    <row r="48" spans="1:16" x14ac:dyDescent="0.2">
      <c r="A48" s="5">
        <v>50</v>
      </c>
      <c r="B48" s="5">
        <v>0</v>
      </c>
      <c r="C48" s="5">
        <v>0</v>
      </c>
      <c r="D48" s="5">
        <v>2</v>
      </c>
      <c r="E48" s="5">
        <v>211</v>
      </c>
      <c r="F48" s="5">
        <v>2329.4699999999998</v>
      </c>
      <c r="G48" s="5" t="s">
        <v>178</v>
      </c>
      <c r="H48" s="5" t="s">
        <v>172</v>
      </c>
      <c r="I48" s="5"/>
      <c r="J48" s="5"/>
      <c r="K48" s="5">
        <v>212</v>
      </c>
      <c r="L48" s="5">
        <v>29</v>
      </c>
      <c r="M48" s="5">
        <v>3</v>
      </c>
      <c r="N48" s="5" t="s">
        <v>6</v>
      </c>
      <c r="O48" s="5">
        <v>2</v>
      </c>
      <c r="P48" s="5">
        <v>13953.36</v>
      </c>
    </row>
    <row r="49" spans="1:34" x14ac:dyDescent="0.2">
      <c r="A49" s="5">
        <v>50</v>
      </c>
      <c r="B49" s="5">
        <v>0</v>
      </c>
      <c r="C49" s="5">
        <v>0</v>
      </c>
      <c r="D49" s="5">
        <v>2</v>
      </c>
      <c r="E49" s="5">
        <v>0</v>
      </c>
      <c r="F49" s="5">
        <v>239369.03</v>
      </c>
      <c r="G49" s="5" t="s">
        <v>179</v>
      </c>
      <c r="H49" s="5" t="s">
        <v>180</v>
      </c>
      <c r="I49" s="5"/>
      <c r="J49" s="5"/>
      <c r="K49" s="5">
        <v>212</v>
      </c>
      <c r="L49" s="5">
        <v>30</v>
      </c>
      <c r="M49" s="5">
        <v>3</v>
      </c>
      <c r="N49" s="5" t="s">
        <v>6</v>
      </c>
      <c r="O49" s="5">
        <v>2</v>
      </c>
      <c r="P49" s="5">
        <v>1433820.1</v>
      </c>
    </row>
    <row r="50" spans="1:34" x14ac:dyDescent="0.2">
      <c r="A50" s="5">
        <v>50</v>
      </c>
      <c r="B50" s="5">
        <v>0</v>
      </c>
      <c r="C50" s="5">
        <v>0</v>
      </c>
      <c r="D50" s="5">
        <v>2</v>
      </c>
      <c r="E50" s="5">
        <v>0</v>
      </c>
      <c r="F50" s="5">
        <v>0</v>
      </c>
      <c r="G50" s="5" t="s">
        <v>181</v>
      </c>
      <c r="H50" s="5" t="s">
        <v>182</v>
      </c>
      <c r="I50" s="5"/>
      <c r="J50" s="5"/>
      <c r="K50" s="5">
        <v>212</v>
      </c>
      <c r="L50" s="5">
        <v>31</v>
      </c>
      <c r="M50" s="5">
        <v>3</v>
      </c>
      <c r="N50" s="5" t="s">
        <v>6</v>
      </c>
      <c r="O50" s="5">
        <v>-1</v>
      </c>
      <c r="P50" s="5">
        <v>0</v>
      </c>
    </row>
    <row r="51" spans="1:34" x14ac:dyDescent="0.2">
      <c r="A51" s="5">
        <v>50</v>
      </c>
      <c r="B51" s="5">
        <v>1</v>
      </c>
      <c r="C51" s="5">
        <v>0</v>
      </c>
      <c r="D51" s="5">
        <v>2</v>
      </c>
      <c r="E51" s="5">
        <v>0</v>
      </c>
      <c r="F51" s="5">
        <v>239369.03</v>
      </c>
      <c r="G51" s="5" t="s">
        <v>183</v>
      </c>
      <c r="H51" s="5" t="s">
        <v>180</v>
      </c>
      <c r="I51" s="5"/>
      <c r="J51" s="5"/>
      <c r="K51" s="5">
        <v>212</v>
      </c>
      <c r="L51" s="5">
        <v>32</v>
      </c>
      <c r="M51" s="5">
        <v>0</v>
      </c>
      <c r="N51" s="5" t="s">
        <v>6</v>
      </c>
      <c r="O51" s="5">
        <v>2</v>
      </c>
      <c r="P51" s="5">
        <v>1433820.1</v>
      </c>
    </row>
    <row r="52" spans="1:34" x14ac:dyDescent="0.2">
      <c r="A52" s="5">
        <v>50</v>
      </c>
      <c r="B52" s="5">
        <v>1</v>
      </c>
      <c r="C52" s="5">
        <v>0</v>
      </c>
      <c r="D52" s="5">
        <v>2</v>
      </c>
      <c r="E52" s="5">
        <v>0</v>
      </c>
      <c r="F52" s="5">
        <v>43086.43</v>
      </c>
      <c r="G52" s="5" t="s">
        <v>184</v>
      </c>
      <c r="H52" s="5" t="s">
        <v>185</v>
      </c>
      <c r="I52" s="5"/>
      <c r="J52" s="5"/>
      <c r="K52" s="5">
        <v>212</v>
      </c>
      <c r="L52" s="5">
        <v>33</v>
      </c>
      <c r="M52" s="5">
        <v>0</v>
      </c>
      <c r="N52" s="5" t="s">
        <v>6</v>
      </c>
      <c r="O52" s="5">
        <v>2</v>
      </c>
      <c r="P52" s="5">
        <v>258087.62</v>
      </c>
    </row>
    <row r="53" spans="1:34" x14ac:dyDescent="0.2">
      <c r="A53" s="5">
        <v>50</v>
      </c>
      <c r="B53" s="5">
        <v>1</v>
      </c>
      <c r="C53" s="5">
        <v>0</v>
      </c>
      <c r="D53" s="5">
        <v>2</v>
      </c>
      <c r="E53" s="5">
        <v>213</v>
      </c>
      <c r="F53" s="5">
        <v>282455.46000000002</v>
      </c>
      <c r="G53" s="5" t="s">
        <v>186</v>
      </c>
      <c r="H53" s="5" t="s">
        <v>173</v>
      </c>
      <c r="I53" s="5"/>
      <c r="J53" s="5"/>
      <c r="K53" s="5">
        <v>212</v>
      </c>
      <c r="L53" s="5">
        <v>34</v>
      </c>
      <c r="M53" s="5">
        <v>0</v>
      </c>
      <c r="N53" s="5" t="s">
        <v>6</v>
      </c>
      <c r="O53" s="5">
        <v>2</v>
      </c>
      <c r="P53" s="5">
        <v>1691907.72</v>
      </c>
    </row>
    <row r="55" spans="1:34" x14ac:dyDescent="0.2">
      <c r="A55">
        <v>-1</v>
      </c>
    </row>
    <row r="58" spans="1:34" x14ac:dyDescent="0.2">
      <c r="A58" s="4">
        <v>75</v>
      </c>
      <c r="B58" s="4" t="s">
        <v>248</v>
      </c>
      <c r="C58" s="4">
        <v>2000</v>
      </c>
      <c r="D58" s="4">
        <v>0</v>
      </c>
      <c r="E58" s="4">
        <v>1</v>
      </c>
      <c r="F58" s="4">
        <v>0</v>
      </c>
      <c r="G58" s="4">
        <v>0</v>
      </c>
      <c r="H58" s="4">
        <v>1</v>
      </c>
      <c r="I58" s="4">
        <v>0</v>
      </c>
      <c r="J58" s="4">
        <v>1</v>
      </c>
      <c r="K58" s="4">
        <v>0</v>
      </c>
      <c r="L58" s="4">
        <v>0</v>
      </c>
      <c r="M58" s="4">
        <v>0</v>
      </c>
      <c r="N58" s="4">
        <v>16481626</v>
      </c>
      <c r="O58" s="4">
        <v>1</v>
      </c>
    </row>
    <row r="59" spans="1:34" x14ac:dyDescent="0.2">
      <c r="A59" s="4">
        <v>75</v>
      </c>
      <c r="B59" s="4" t="s">
        <v>249</v>
      </c>
      <c r="C59" s="4">
        <v>2017</v>
      </c>
      <c r="D59" s="4">
        <v>0</v>
      </c>
      <c r="E59" s="4">
        <v>1</v>
      </c>
      <c r="F59" s="4"/>
      <c r="G59" s="4">
        <v>0</v>
      </c>
      <c r="H59" s="4">
        <v>1</v>
      </c>
      <c r="I59" s="4">
        <v>0</v>
      </c>
      <c r="J59" s="4">
        <v>1</v>
      </c>
      <c r="K59" s="4">
        <v>0</v>
      </c>
      <c r="L59" s="4">
        <v>0</v>
      </c>
      <c r="M59" s="4">
        <v>1</v>
      </c>
      <c r="N59" s="4">
        <v>16481627</v>
      </c>
      <c r="O59" s="4">
        <v>2</v>
      </c>
    </row>
    <row r="60" spans="1:34" x14ac:dyDescent="0.2">
      <c r="A60" s="6">
        <v>3</v>
      </c>
      <c r="B60" s="6" t="s">
        <v>250</v>
      </c>
      <c r="C60" s="6">
        <v>5.99</v>
      </c>
      <c r="D60" s="6">
        <v>1</v>
      </c>
      <c r="E60" s="6">
        <v>1</v>
      </c>
      <c r="F60" s="6">
        <v>1</v>
      </c>
      <c r="G60" s="6">
        <v>1</v>
      </c>
      <c r="H60" s="6">
        <v>1</v>
      </c>
      <c r="I60" s="6">
        <v>1</v>
      </c>
      <c r="J60" s="6">
        <v>1</v>
      </c>
      <c r="K60" s="6">
        <v>1</v>
      </c>
      <c r="L60" s="6">
        <v>1</v>
      </c>
      <c r="M60" s="6">
        <v>5.99</v>
      </c>
      <c r="N60" s="6">
        <v>1</v>
      </c>
      <c r="O60" s="6">
        <v>1</v>
      </c>
      <c r="P60" s="6">
        <v>1</v>
      </c>
      <c r="Q60" s="6">
        <v>1</v>
      </c>
      <c r="R60" s="6">
        <v>1</v>
      </c>
      <c r="S60" s="6" t="s">
        <v>6</v>
      </c>
      <c r="T60" s="6" t="s">
        <v>6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 t="s">
        <v>6</v>
      </c>
      <c r="AB60" s="6" t="s">
        <v>6</v>
      </c>
      <c r="AC60" s="6" t="s">
        <v>6</v>
      </c>
      <c r="AD60" s="6" t="s">
        <v>6</v>
      </c>
      <c r="AE60" s="6" t="s">
        <v>6</v>
      </c>
      <c r="AF60" s="6" t="s">
        <v>6</v>
      </c>
      <c r="AG60" s="6" t="s">
        <v>6</v>
      </c>
      <c r="AH60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3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16481626</v>
      </c>
      <c r="C1">
        <v>16481689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252</v>
      </c>
      <c r="J1" t="s">
        <v>6</v>
      </c>
      <c r="K1" t="s">
        <v>253</v>
      </c>
      <c r="L1">
        <v>1191</v>
      </c>
      <c r="N1">
        <v>1013</v>
      </c>
      <c r="O1" t="s">
        <v>254</v>
      </c>
      <c r="P1" t="s">
        <v>254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16481693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195.13889999999998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ROW(Source!A24)</f>
        <v>24</v>
      </c>
      <c r="B2">
        <v>16481626</v>
      </c>
      <c r="C2">
        <v>16481689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255</v>
      </c>
      <c r="J2" t="s">
        <v>6</v>
      </c>
      <c r="K2" t="s">
        <v>256</v>
      </c>
      <c r="L2">
        <v>1191</v>
      </c>
      <c r="N2">
        <v>1013</v>
      </c>
      <c r="O2" t="s">
        <v>254</v>
      </c>
      <c r="P2" t="s">
        <v>254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16481694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8.0108999999999995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16481626</v>
      </c>
      <c r="C3">
        <v>16481689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257</v>
      </c>
      <c r="J3" t="s">
        <v>258</v>
      </c>
      <c r="K3" t="s">
        <v>259</v>
      </c>
      <c r="L3">
        <v>1368</v>
      </c>
      <c r="N3">
        <v>1011</v>
      </c>
      <c r="O3" t="s">
        <v>260</v>
      </c>
      <c r="P3" t="s">
        <v>260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16481695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8.0108999999999995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ROW(Source!A25)</f>
        <v>25</v>
      </c>
      <c r="B4">
        <v>16481627</v>
      </c>
      <c r="C4">
        <v>16481689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252</v>
      </c>
      <c r="J4" t="s">
        <v>6</v>
      </c>
      <c r="K4" t="s">
        <v>253</v>
      </c>
      <c r="L4">
        <v>1191</v>
      </c>
      <c r="N4">
        <v>1013</v>
      </c>
      <c r="O4" t="s">
        <v>254</v>
      </c>
      <c r="P4" t="s">
        <v>254</v>
      </c>
      <c r="Q4">
        <v>1</v>
      </c>
      <c r="W4">
        <v>0</v>
      </c>
      <c r="X4">
        <v>371339561</v>
      </c>
      <c r="Y4">
        <v>188.54</v>
      </c>
      <c r="AA4">
        <v>0</v>
      </c>
      <c r="AB4">
        <v>0</v>
      </c>
      <c r="AC4">
        <v>0</v>
      </c>
      <c r="AD4">
        <v>48.46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5.99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188.54</v>
      </c>
      <c r="AU4" t="s">
        <v>6</v>
      </c>
      <c r="AV4">
        <v>1</v>
      </c>
      <c r="AW4">
        <v>2</v>
      </c>
      <c r="AX4">
        <v>16481693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195.13889999999998</v>
      </c>
      <c r="CY4">
        <f>AD4</f>
        <v>48.46</v>
      </c>
      <c r="CZ4">
        <f>AH4</f>
        <v>8.09</v>
      </c>
      <c r="DA4">
        <f>AL4</f>
        <v>5.99</v>
      </c>
      <c r="DB4">
        <v>0</v>
      </c>
    </row>
    <row r="5" spans="1:106" x14ac:dyDescent="0.2">
      <c r="A5">
        <f>ROW(Source!A25)</f>
        <v>25</v>
      </c>
      <c r="B5">
        <v>16481627</v>
      </c>
      <c r="C5">
        <v>16481689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255</v>
      </c>
      <c r="J5" t="s">
        <v>6</v>
      </c>
      <c r="K5" t="s">
        <v>256</v>
      </c>
      <c r="L5">
        <v>1191</v>
      </c>
      <c r="N5">
        <v>1013</v>
      </c>
      <c r="O5" t="s">
        <v>254</v>
      </c>
      <c r="P5" t="s">
        <v>254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5.99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16481694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8.0108999999999995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ROW(Source!A25)</f>
        <v>25</v>
      </c>
      <c r="B6">
        <v>16481627</v>
      </c>
      <c r="C6">
        <v>16481689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257</v>
      </c>
      <c r="J6" t="s">
        <v>258</v>
      </c>
      <c r="K6" t="s">
        <v>259</v>
      </c>
      <c r="L6">
        <v>1368</v>
      </c>
      <c r="N6">
        <v>1011</v>
      </c>
      <c r="O6" t="s">
        <v>260</v>
      </c>
      <c r="P6" t="s">
        <v>260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187.25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5.99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16481695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8.0108999999999995</v>
      </c>
      <c r="CY6">
        <f>AB6</f>
        <v>187.25</v>
      </c>
      <c r="CZ6">
        <f>AF6</f>
        <v>31.26</v>
      </c>
      <c r="DA6">
        <f>AJ6</f>
        <v>5.99</v>
      </c>
      <c r="DB6">
        <v>0</v>
      </c>
    </row>
    <row r="7" spans="1:106" x14ac:dyDescent="0.2">
      <c r="A7">
        <f>ROW(Source!A26)</f>
        <v>26</v>
      </c>
      <c r="B7">
        <v>16481626</v>
      </c>
      <c r="C7">
        <v>16481696</v>
      </c>
      <c r="D7">
        <v>15436014</v>
      </c>
      <c r="E7">
        <v>1</v>
      </c>
      <c r="F7">
        <v>1</v>
      </c>
      <c r="G7">
        <v>1</v>
      </c>
      <c r="H7">
        <v>1</v>
      </c>
      <c r="I7" t="s">
        <v>261</v>
      </c>
      <c r="J7" t="s">
        <v>6</v>
      </c>
      <c r="K7" t="s">
        <v>262</v>
      </c>
      <c r="L7">
        <v>1191</v>
      </c>
      <c r="N7">
        <v>1013</v>
      </c>
      <c r="O7" t="s">
        <v>254</v>
      </c>
      <c r="P7" t="s">
        <v>254</v>
      </c>
      <c r="Q7">
        <v>1</v>
      </c>
      <c r="W7">
        <v>0</v>
      </c>
      <c r="X7">
        <v>-784637506</v>
      </c>
      <c r="Y7">
        <v>149.16</v>
      </c>
      <c r="AA7">
        <v>0</v>
      </c>
      <c r="AB7">
        <v>0</v>
      </c>
      <c r="AC7">
        <v>0</v>
      </c>
      <c r="AD7">
        <v>8.74</v>
      </c>
      <c r="AE7">
        <v>0</v>
      </c>
      <c r="AF7">
        <v>0</v>
      </c>
      <c r="AG7">
        <v>0</v>
      </c>
      <c r="AH7">
        <v>8.74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149.16</v>
      </c>
      <c r="AU7" t="s">
        <v>6</v>
      </c>
      <c r="AV7">
        <v>1</v>
      </c>
      <c r="AW7">
        <v>2</v>
      </c>
      <c r="AX7">
        <v>16481709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154.38059999999999</v>
      </c>
      <c r="CY7">
        <f>AD7</f>
        <v>8.74</v>
      </c>
      <c r="CZ7">
        <f>AH7</f>
        <v>8.74</v>
      </c>
      <c r="DA7">
        <f>AL7</f>
        <v>1</v>
      </c>
      <c r="DB7">
        <v>0</v>
      </c>
    </row>
    <row r="8" spans="1:106" x14ac:dyDescent="0.2">
      <c r="A8">
        <f>ROW(Source!A26)</f>
        <v>26</v>
      </c>
      <c r="B8">
        <v>16481626</v>
      </c>
      <c r="C8">
        <v>16481696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255</v>
      </c>
      <c r="J8" t="s">
        <v>6</v>
      </c>
      <c r="K8" t="s">
        <v>256</v>
      </c>
      <c r="L8">
        <v>1191</v>
      </c>
      <c r="N8">
        <v>1013</v>
      </c>
      <c r="O8" t="s">
        <v>254</v>
      </c>
      <c r="P8" t="s">
        <v>254</v>
      </c>
      <c r="Q8">
        <v>1</v>
      </c>
      <c r="W8">
        <v>0</v>
      </c>
      <c r="X8">
        <v>-1417349443</v>
      </c>
      <c r="Y8">
        <v>4.2300000000000004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4.2300000000000004</v>
      </c>
      <c r="AU8" t="s">
        <v>6</v>
      </c>
      <c r="AV8">
        <v>2</v>
      </c>
      <c r="AW8">
        <v>2</v>
      </c>
      <c r="AX8">
        <v>16481710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4.37805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ROW(Source!A26)</f>
        <v>26</v>
      </c>
      <c r="B9">
        <v>16481626</v>
      </c>
      <c r="C9">
        <v>16481696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257</v>
      </c>
      <c r="J9" t="s">
        <v>258</v>
      </c>
      <c r="K9" t="s">
        <v>259</v>
      </c>
      <c r="L9">
        <v>1368</v>
      </c>
      <c r="N9">
        <v>1011</v>
      </c>
      <c r="O9" t="s">
        <v>260</v>
      </c>
      <c r="P9" t="s">
        <v>260</v>
      </c>
      <c r="Q9">
        <v>1</v>
      </c>
      <c r="W9">
        <v>0</v>
      </c>
      <c r="X9">
        <v>1188625873</v>
      </c>
      <c r="Y9">
        <v>0.66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0.66</v>
      </c>
      <c r="AU9" t="s">
        <v>6</v>
      </c>
      <c r="AV9">
        <v>0</v>
      </c>
      <c r="AW9">
        <v>2</v>
      </c>
      <c r="AX9">
        <v>16481711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0.68309999999999993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">
      <c r="A10">
        <f>ROW(Source!A26)</f>
        <v>26</v>
      </c>
      <c r="B10">
        <v>16481626</v>
      </c>
      <c r="C10">
        <v>16481696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263</v>
      </c>
      <c r="J10" t="s">
        <v>264</v>
      </c>
      <c r="K10" t="s">
        <v>265</v>
      </c>
      <c r="L10">
        <v>1368</v>
      </c>
      <c r="N10">
        <v>1011</v>
      </c>
      <c r="O10" t="s">
        <v>260</v>
      </c>
      <c r="P10" t="s">
        <v>260</v>
      </c>
      <c r="Q10">
        <v>1</v>
      </c>
      <c r="W10">
        <v>0</v>
      </c>
      <c r="X10">
        <v>1372534845</v>
      </c>
      <c r="Y10">
        <v>3.57</v>
      </c>
      <c r="AA10">
        <v>0</v>
      </c>
      <c r="AB10">
        <v>65.709999999999994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3.57</v>
      </c>
      <c r="AU10" t="s">
        <v>6</v>
      </c>
      <c r="AV10">
        <v>0</v>
      </c>
      <c r="AW10">
        <v>2</v>
      </c>
      <c r="AX10">
        <v>16481712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3.6949499999999995</v>
      </c>
      <c r="CY10">
        <f>AB10</f>
        <v>65.709999999999994</v>
      </c>
      <c r="CZ10">
        <f>AF10</f>
        <v>65.709999999999994</v>
      </c>
      <c r="DA10">
        <f>AJ10</f>
        <v>1</v>
      </c>
      <c r="DB10">
        <v>0</v>
      </c>
    </row>
    <row r="11" spans="1:106" x14ac:dyDescent="0.2">
      <c r="A11">
        <f>ROW(Source!A26)</f>
        <v>26</v>
      </c>
      <c r="B11">
        <v>16481626</v>
      </c>
      <c r="C11">
        <v>16481696</v>
      </c>
      <c r="D11">
        <v>15167551</v>
      </c>
      <c r="E11">
        <v>1</v>
      </c>
      <c r="F11">
        <v>1</v>
      </c>
      <c r="G11">
        <v>1</v>
      </c>
      <c r="H11">
        <v>3</v>
      </c>
      <c r="I11" t="s">
        <v>266</v>
      </c>
      <c r="J11" t="s">
        <v>267</v>
      </c>
      <c r="K11" t="s">
        <v>268</v>
      </c>
      <c r="L11">
        <v>1301</v>
      </c>
      <c r="N11">
        <v>1003</v>
      </c>
      <c r="O11" t="s">
        <v>45</v>
      </c>
      <c r="P11" t="s">
        <v>45</v>
      </c>
      <c r="Q11">
        <v>1</v>
      </c>
      <c r="W11">
        <v>0</v>
      </c>
      <c r="X11">
        <v>751777312</v>
      </c>
      <c r="Y11">
        <v>253</v>
      </c>
      <c r="AA11">
        <v>6.38</v>
      </c>
      <c r="AB11">
        <v>0</v>
      </c>
      <c r="AC11">
        <v>0</v>
      </c>
      <c r="AD11">
        <v>0</v>
      </c>
      <c r="AE11">
        <v>6.38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253</v>
      </c>
      <c r="AU11" t="s">
        <v>6</v>
      </c>
      <c r="AV11">
        <v>0</v>
      </c>
      <c r="AW11">
        <v>2</v>
      </c>
      <c r="AX11">
        <v>16481713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261.85499999999996</v>
      </c>
      <c r="CY11">
        <f t="shared" ref="CY11:CY18" si="0">AA11</f>
        <v>6.38</v>
      </c>
      <c r="CZ11">
        <f t="shared" ref="CZ11:CZ18" si="1">AE11</f>
        <v>6.38</v>
      </c>
      <c r="DA11">
        <f t="shared" ref="DA11:DA18" si="2">AI11</f>
        <v>1</v>
      </c>
      <c r="DB11">
        <v>0</v>
      </c>
    </row>
    <row r="12" spans="1:106" x14ac:dyDescent="0.2">
      <c r="A12">
        <f>ROW(Source!A26)</f>
        <v>26</v>
      </c>
      <c r="B12">
        <v>16481626</v>
      </c>
      <c r="C12">
        <v>16481696</v>
      </c>
      <c r="D12">
        <v>15167552</v>
      </c>
      <c r="E12">
        <v>1</v>
      </c>
      <c r="F12">
        <v>1</v>
      </c>
      <c r="G12">
        <v>1</v>
      </c>
      <c r="H12">
        <v>3</v>
      </c>
      <c r="I12" t="s">
        <v>269</v>
      </c>
      <c r="J12" t="s">
        <v>270</v>
      </c>
      <c r="K12" t="s">
        <v>271</v>
      </c>
      <c r="L12">
        <v>1301</v>
      </c>
      <c r="N12">
        <v>1003</v>
      </c>
      <c r="O12" t="s">
        <v>45</v>
      </c>
      <c r="P12" t="s">
        <v>45</v>
      </c>
      <c r="Q12">
        <v>1</v>
      </c>
      <c r="W12">
        <v>0</v>
      </c>
      <c r="X12">
        <v>1744203244</v>
      </c>
      <c r="Y12">
        <v>59</v>
      </c>
      <c r="AA12">
        <v>7.95</v>
      </c>
      <c r="AB12">
        <v>0</v>
      </c>
      <c r="AC12">
        <v>0</v>
      </c>
      <c r="AD12">
        <v>0</v>
      </c>
      <c r="AE12">
        <v>7.95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59</v>
      </c>
      <c r="AU12" t="s">
        <v>6</v>
      </c>
      <c r="AV12">
        <v>0</v>
      </c>
      <c r="AW12">
        <v>2</v>
      </c>
      <c r="AX12">
        <v>16481714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Y12*Source!I26</f>
        <v>61.064999999999998</v>
      </c>
      <c r="CY12">
        <f t="shared" si="0"/>
        <v>7.95</v>
      </c>
      <c r="CZ12">
        <f t="shared" si="1"/>
        <v>7.95</v>
      </c>
      <c r="DA12">
        <f t="shared" si="2"/>
        <v>1</v>
      </c>
      <c r="DB12">
        <v>0</v>
      </c>
    </row>
    <row r="13" spans="1:106" x14ac:dyDescent="0.2">
      <c r="A13">
        <f>ROW(Source!A26)</f>
        <v>26</v>
      </c>
      <c r="B13">
        <v>16481626</v>
      </c>
      <c r="C13">
        <v>16481696</v>
      </c>
      <c r="D13">
        <v>15167640</v>
      </c>
      <c r="E13">
        <v>1</v>
      </c>
      <c r="F13">
        <v>1</v>
      </c>
      <c r="G13">
        <v>1</v>
      </c>
      <c r="H13">
        <v>3</v>
      </c>
      <c r="I13" t="s">
        <v>272</v>
      </c>
      <c r="J13" t="s">
        <v>273</v>
      </c>
      <c r="K13" t="s">
        <v>274</v>
      </c>
      <c r="L13">
        <v>1302</v>
      </c>
      <c r="N13">
        <v>1003</v>
      </c>
      <c r="O13" t="s">
        <v>275</v>
      </c>
      <c r="P13" t="s">
        <v>275</v>
      </c>
      <c r="Q13">
        <v>10</v>
      </c>
      <c r="W13">
        <v>0</v>
      </c>
      <c r="X13">
        <v>-405326455</v>
      </c>
      <c r="Y13">
        <v>15.9</v>
      </c>
      <c r="AA13">
        <v>64.099999999999994</v>
      </c>
      <c r="AB13">
        <v>0</v>
      </c>
      <c r="AC13">
        <v>0</v>
      </c>
      <c r="AD13">
        <v>0</v>
      </c>
      <c r="AE13">
        <v>64.099999999999994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15.9</v>
      </c>
      <c r="AU13" t="s">
        <v>6</v>
      </c>
      <c r="AV13">
        <v>0</v>
      </c>
      <c r="AW13">
        <v>2</v>
      </c>
      <c r="AX13">
        <v>16481715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Y13*Source!I26</f>
        <v>16.456499999999998</v>
      </c>
      <c r="CY13">
        <f t="shared" si="0"/>
        <v>64.099999999999994</v>
      </c>
      <c r="CZ13">
        <f t="shared" si="1"/>
        <v>64.099999999999994</v>
      </c>
      <c r="DA13">
        <f t="shared" si="2"/>
        <v>1</v>
      </c>
      <c r="DB13">
        <v>0</v>
      </c>
    </row>
    <row r="14" spans="1:106" x14ac:dyDescent="0.2">
      <c r="A14">
        <f>ROW(Source!A26)</f>
        <v>26</v>
      </c>
      <c r="B14">
        <v>16481626</v>
      </c>
      <c r="C14">
        <v>16481696</v>
      </c>
      <c r="D14">
        <v>15170065</v>
      </c>
      <c r="E14">
        <v>1</v>
      </c>
      <c r="F14">
        <v>1</v>
      </c>
      <c r="G14">
        <v>1</v>
      </c>
      <c r="H14">
        <v>3</v>
      </c>
      <c r="I14" t="s">
        <v>276</v>
      </c>
      <c r="J14" t="s">
        <v>277</v>
      </c>
      <c r="K14" t="s">
        <v>278</v>
      </c>
      <c r="L14">
        <v>1358</v>
      </c>
      <c r="N14">
        <v>1010</v>
      </c>
      <c r="O14" t="s">
        <v>279</v>
      </c>
      <c r="P14" t="s">
        <v>279</v>
      </c>
      <c r="Q14">
        <v>10</v>
      </c>
      <c r="W14">
        <v>0</v>
      </c>
      <c r="X14">
        <v>-858120743</v>
      </c>
      <c r="Y14">
        <v>41.2</v>
      </c>
      <c r="AA14">
        <v>7.03</v>
      </c>
      <c r="AB14">
        <v>0</v>
      </c>
      <c r="AC14">
        <v>0</v>
      </c>
      <c r="AD14">
        <v>0</v>
      </c>
      <c r="AE14">
        <v>7.03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41.2</v>
      </c>
      <c r="AU14" t="s">
        <v>6</v>
      </c>
      <c r="AV14">
        <v>0</v>
      </c>
      <c r="AW14">
        <v>2</v>
      </c>
      <c r="AX14">
        <v>16481716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Y14*Source!I26</f>
        <v>42.642000000000003</v>
      </c>
      <c r="CY14">
        <f t="shared" si="0"/>
        <v>7.03</v>
      </c>
      <c r="CZ14">
        <f t="shared" si="1"/>
        <v>7.03</v>
      </c>
      <c r="DA14">
        <f t="shared" si="2"/>
        <v>1</v>
      </c>
      <c r="DB14">
        <v>0</v>
      </c>
    </row>
    <row r="15" spans="1:106" x14ac:dyDescent="0.2">
      <c r="A15">
        <f>ROW(Source!A26)</f>
        <v>26</v>
      </c>
      <c r="B15">
        <v>16481626</v>
      </c>
      <c r="C15">
        <v>16481696</v>
      </c>
      <c r="D15">
        <v>15197465</v>
      </c>
      <c r="E15">
        <v>1</v>
      </c>
      <c r="F15">
        <v>1</v>
      </c>
      <c r="G15">
        <v>1</v>
      </c>
      <c r="H15">
        <v>3</v>
      </c>
      <c r="I15" t="s">
        <v>34</v>
      </c>
      <c r="J15" t="s">
        <v>36</v>
      </c>
      <c r="K15" t="s">
        <v>35</v>
      </c>
      <c r="L15">
        <v>1327</v>
      </c>
      <c r="N15">
        <v>1005</v>
      </c>
      <c r="O15" t="s">
        <v>32</v>
      </c>
      <c r="P15" t="s">
        <v>32</v>
      </c>
      <c r="Q15">
        <v>1</v>
      </c>
      <c r="W15">
        <v>0</v>
      </c>
      <c r="X15">
        <v>2097510584</v>
      </c>
      <c r="Y15">
        <v>100</v>
      </c>
      <c r="AA15">
        <v>2074.38</v>
      </c>
      <c r="AB15">
        <v>0</v>
      </c>
      <c r="AC15">
        <v>0</v>
      </c>
      <c r="AD15">
        <v>0</v>
      </c>
      <c r="AE15">
        <v>2074.38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6</v>
      </c>
      <c r="AT15">
        <v>100</v>
      </c>
      <c r="AU15" t="s">
        <v>6</v>
      </c>
      <c r="AV15">
        <v>0</v>
      </c>
      <c r="AW15">
        <v>1</v>
      </c>
      <c r="AX15">
        <v>-1</v>
      </c>
      <c r="AY15">
        <v>0</v>
      </c>
      <c r="AZ15">
        <v>0</v>
      </c>
      <c r="BA15" t="s">
        <v>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Y15*Source!I26</f>
        <v>103.49999999999999</v>
      </c>
      <c r="CY15">
        <f t="shared" si="0"/>
        <v>2074.38</v>
      </c>
      <c r="CZ15">
        <f t="shared" si="1"/>
        <v>2074.38</v>
      </c>
      <c r="DA15">
        <f t="shared" si="2"/>
        <v>1</v>
      </c>
      <c r="DB15">
        <v>0</v>
      </c>
    </row>
    <row r="16" spans="1:106" x14ac:dyDescent="0.2">
      <c r="A16">
        <f>ROW(Source!A26)</f>
        <v>26</v>
      </c>
      <c r="B16">
        <v>16481626</v>
      </c>
      <c r="C16">
        <v>16481696</v>
      </c>
      <c r="D16">
        <v>15162466</v>
      </c>
      <c r="E16">
        <v>17</v>
      </c>
      <c r="F16">
        <v>1</v>
      </c>
      <c r="G16">
        <v>1</v>
      </c>
      <c r="H16">
        <v>3</v>
      </c>
      <c r="I16" t="s">
        <v>30</v>
      </c>
      <c r="J16" t="s">
        <v>6</v>
      </c>
      <c r="K16" t="s">
        <v>31</v>
      </c>
      <c r="L16">
        <v>1327</v>
      </c>
      <c r="N16">
        <v>1005</v>
      </c>
      <c r="O16" t="s">
        <v>32</v>
      </c>
      <c r="P16" t="s">
        <v>32</v>
      </c>
      <c r="Q16">
        <v>1</v>
      </c>
      <c r="W16">
        <v>0</v>
      </c>
      <c r="X16">
        <v>1219964505</v>
      </c>
      <c r="Y16">
        <v>100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6</v>
      </c>
      <c r="AT16">
        <v>100</v>
      </c>
      <c r="AU16" t="s">
        <v>6</v>
      </c>
      <c r="AV16">
        <v>0</v>
      </c>
      <c r="AW16">
        <v>2</v>
      </c>
      <c r="AX16">
        <v>16481717</v>
      </c>
      <c r="AY16">
        <v>1</v>
      </c>
      <c r="AZ16">
        <v>0</v>
      </c>
      <c r="BA16">
        <v>15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Y16*Source!I26</f>
        <v>103.49999999999999</v>
      </c>
      <c r="CY16">
        <f t="shared" si="0"/>
        <v>0</v>
      </c>
      <c r="CZ16">
        <f t="shared" si="1"/>
        <v>0</v>
      </c>
      <c r="DA16">
        <f t="shared" si="2"/>
        <v>1</v>
      </c>
      <c r="DB16">
        <v>0</v>
      </c>
    </row>
    <row r="17" spans="1:106" x14ac:dyDescent="0.2">
      <c r="A17">
        <f>ROW(Source!A26)</f>
        <v>26</v>
      </c>
      <c r="B17">
        <v>16481626</v>
      </c>
      <c r="C17">
        <v>16481696</v>
      </c>
      <c r="D17">
        <v>15197780</v>
      </c>
      <c r="E17">
        <v>1</v>
      </c>
      <c r="F17">
        <v>1</v>
      </c>
      <c r="G17">
        <v>1</v>
      </c>
      <c r="H17">
        <v>3</v>
      </c>
      <c r="I17" t="s">
        <v>280</v>
      </c>
      <c r="J17" t="s">
        <v>281</v>
      </c>
      <c r="K17" t="s">
        <v>282</v>
      </c>
      <c r="L17">
        <v>1355</v>
      </c>
      <c r="N17">
        <v>1010</v>
      </c>
      <c r="O17" t="s">
        <v>283</v>
      </c>
      <c r="P17" t="s">
        <v>283</v>
      </c>
      <c r="Q17">
        <v>100</v>
      </c>
      <c r="W17">
        <v>0</v>
      </c>
      <c r="X17">
        <v>1709713925</v>
      </c>
      <c r="Y17">
        <v>8</v>
      </c>
      <c r="AA17">
        <v>50</v>
      </c>
      <c r="AB17">
        <v>0</v>
      </c>
      <c r="AC17">
        <v>0</v>
      </c>
      <c r="AD17">
        <v>0</v>
      </c>
      <c r="AE17">
        <v>50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8</v>
      </c>
      <c r="AU17" t="s">
        <v>6</v>
      </c>
      <c r="AV17">
        <v>0</v>
      </c>
      <c r="AW17">
        <v>2</v>
      </c>
      <c r="AX17">
        <v>16481718</v>
      </c>
      <c r="AY17">
        <v>1</v>
      </c>
      <c r="AZ17">
        <v>0</v>
      </c>
      <c r="BA17">
        <v>16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Y17*Source!I26</f>
        <v>8.2799999999999994</v>
      </c>
      <c r="CY17">
        <f t="shared" si="0"/>
        <v>50</v>
      </c>
      <c r="CZ17">
        <f t="shared" si="1"/>
        <v>50</v>
      </c>
      <c r="DA17">
        <f t="shared" si="2"/>
        <v>1</v>
      </c>
      <c r="DB17">
        <v>0</v>
      </c>
    </row>
    <row r="18" spans="1:106" x14ac:dyDescent="0.2">
      <c r="A18">
        <f>ROW(Source!A26)</f>
        <v>26</v>
      </c>
      <c r="B18">
        <v>16481626</v>
      </c>
      <c r="C18">
        <v>16481696</v>
      </c>
      <c r="D18">
        <v>15204239</v>
      </c>
      <c r="E18">
        <v>1</v>
      </c>
      <c r="F18">
        <v>1</v>
      </c>
      <c r="G18">
        <v>1</v>
      </c>
      <c r="H18">
        <v>3</v>
      </c>
      <c r="I18" t="s">
        <v>284</v>
      </c>
      <c r="J18" t="s">
        <v>285</v>
      </c>
      <c r="K18" t="s">
        <v>286</v>
      </c>
      <c r="L18">
        <v>1354</v>
      </c>
      <c r="N18">
        <v>1010</v>
      </c>
      <c r="O18" t="s">
        <v>287</v>
      </c>
      <c r="P18" t="s">
        <v>287</v>
      </c>
      <c r="Q18">
        <v>1</v>
      </c>
      <c r="W18">
        <v>0</v>
      </c>
      <c r="X18">
        <v>-1018551266</v>
      </c>
      <c r="Y18">
        <v>71</v>
      </c>
      <c r="AA18">
        <v>67</v>
      </c>
      <c r="AB18">
        <v>0</v>
      </c>
      <c r="AC18">
        <v>0</v>
      </c>
      <c r="AD18">
        <v>0</v>
      </c>
      <c r="AE18">
        <v>67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71</v>
      </c>
      <c r="AU18" t="s">
        <v>6</v>
      </c>
      <c r="AV18">
        <v>0</v>
      </c>
      <c r="AW18">
        <v>2</v>
      </c>
      <c r="AX18">
        <v>16481719</v>
      </c>
      <c r="AY18">
        <v>1</v>
      </c>
      <c r="AZ18">
        <v>0</v>
      </c>
      <c r="BA18">
        <v>17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Y18*Source!I26</f>
        <v>73.484999999999999</v>
      </c>
      <c r="CY18">
        <f t="shared" si="0"/>
        <v>67</v>
      </c>
      <c r="CZ18">
        <f t="shared" si="1"/>
        <v>67</v>
      </c>
      <c r="DA18">
        <f t="shared" si="2"/>
        <v>1</v>
      </c>
      <c r="DB18">
        <v>0</v>
      </c>
    </row>
    <row r="19" spans="1:106" x14ac:dyDescent="0.2">
      <c r="A19">
        <f>ROW(Source!A27)</f>
        <v>27</v>
      </c>
      <c r="B19">
        <v>16481627</v>
      </c>
      <c r="C19">
        <v>16481696</v>
      </c>
      <c r="D19">
        <v>15436014</v>
      </c>
      <c r="E19">
        <v>1</v>
      </c>
      <c r="F19">
        <v>1</v>
      </c>
      <c r="G19">
        <v>1</v>
      </c>
      <c r="H19">
        <v>1</v>
      </c>
      <c r="I19" t="s">
        <v>261</v>
      </c>
      <c r="J19" t="s">
        <v>6</v>
      </c>
      <c r="K19" t="s">
        <v>262</v>
      </c>
      <c r="L19">
        <v>1191</v>
      </c>
      <c r="N19">
        <v>1013</v>
      </c>
      <c r="O19" t="s">
        <v>254</v>
      </c>
      <c r="P19" t="s">
        <v>254</v>
      </c>
      <c r="Q19">
        <v>1</v>
      </c>
      <c r="W19">
        <v>0</v>
      </c>
      <c r="X19">
        <v>-784637506</v>
      </c>
      <c r="Y19">
        <v>149.16</v>
      </c>
      <c r="AA19">
        <v>0</v>
      </c>
      <c r="AB19">
        <v>0</v>
      </c>
      <c r="AC19">
        <v>0</v>
      </c>
      <c r="AD19">
        <v>52.35</v>
      </c>
      <c r="AE19">
        <v>0</v>
      </c>
      <c r="AF19">
        <v>0</v>
      </c>
      <c r="AG19">
        <v>0</v>
      </c>
      <c r="AH19">
        <v>8.74</v>
      </c>
      <c r="AI19">
        <v>1</v>
      </c>
      <c r="AJ19">
        <v>1</v>
      </c>
      <c r="AK19">
        <v>1</v>
      </c>
      <c r="AL19">
        <v>5.99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149.16</v>
      </c>
      <c r="AU19" t="s">
        <v>6</v>
      </c>
      <c r="AV19">
        <v>1</v>
      </c>
      <c r="AW19">
        <v>2</v>
      </c>
      <c r="AX19">
        <v>16481709</v>
      </c>
      <c r="AY19">
        <v>1</v>
      </c>
      <c r="AZ19">
        <v>0</v>
      </c>
      <c r="BA19">
        <v>18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154.38059999999999</v>
      </c>
      <c r="CY19">
        <f>AD19</f>
        <v>52.35</v>
      </c>
      <c r="CZ19">
        <f>AH19</f>
        <v>8.74</v>
      </c>
      <c r="DA19">
        <f>AL19</f>
        <v>5.99</v>
      </c>
      <c r="DB19">
        <v>0</v>
      </c>
    </row>
    <row r="20" spans="1:106" x14ac:dyDescent="0.2">
      <c r="A20">
        <f>ROW(Source!A27)</f>
        <v>27</v>
      </c>
      <c r="B20">
        <v>16481627</v>
      </c>
      <c r="C20">
        <v>16481696</v>
      </c>
      <c r="D20">
        <v>15430395</v>
      </c>
      <c r="E20">
        <v>1</v>
      </c>
      <c r="F20">
        <v>1</v>
      </c>
      <c r="G20">
        <v>1</v>
      </c>
      <c r="H20">
        <v>1</v>
      </c>
      <c r="I20" t="s">
        <v>255</v>
      </c>
      <c r="J20" t="s">
        <v>6</v>
      </c>
      <c r="K20" t="s">
        <v>256</v>
      </c>
      <c r="L20">
        <v>1191</v>
      </c>
      <c r="N20">
        <v>1013</v>
      </c>
      <c r="O20" t="s">
        <v>254</v>
      </c>
      <c r="P20" t="s">
        <v>254</v>
      </c>
      <c r="Q20">
        <v>1</v>
      </c>
      <c r="W20">
        <v>0</v>
      </c>
      <c r="X20">
        <v>-1417349443</v>
      </c>
      <c r="Y20">
        <v>4.2300000000000004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5.99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4.2300000000000004</v>
      </c>
      <c r="AU20" t="s">
        <v>6</v>
      </c>
      <c r="AV20">
        <v>2</v>
      </c>
      <c r="AW20">
        <v>2</v>
      </c>
      <c r="AX20">
        <v>16481710</v>
      </c>
      <c r="AY20">
        <v>1</v>
      </c>
      <c r="AZ20">
        <v>0</v>
      </c>
      <c r="BA20">
        <v>19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4.37805</v>
      </c>
      <c r="CY20">
        <f>AD20</f>
        <v>0</v>
      </c>
      <c r="CZ20">
        <f>AH20</f>
        <v>0</v>
      </c>
      <c r="DA20">
        <f>AL20</f>
        <v>1</v>
      </c>
      <c r="DB20">
        <v>0</v>
      </c>
    </row>
    <row r="21" spans="1:106" x14ac:dyDescent="0.2">
      <c r="A21">
        <f>ROW(Source!A27)</f>
        <v>27</v>
      </c>
      <c r="B21">
        <v>16481627</v>
      </c>
      <c r="C21">
        <v>16481696</v>
      </c>
      <c r="D21">
        <v>15247974</v>
      </c>
      <c r="E21">
        <v>1</v>
      </c>
      <c r="F21">
        <v>1</v>
      </c>
      <c r="G21">
        <v>1</v>
      </c>
      <c r="H21">
        <v>2</v>
      </c>
      <c r="I21" t="s">
        <v>257</v>
      </c>
      <c r="J21" t="s">
        <v>258</v>
      </c>
      <c r="K21" t="s">
        <v>259</v>
      </c>
      <c r="L21">
        <v>1368</v>
      </c>
      <c r="N21">
        <v>1011</v>
      </c>
      <c r="O21" t="s">
        <v>260</v>
      </c>
      <c r="P21" t="s">
        <v>260</v>
      </c>
      <c r="Q21">
        <v>1</v>
      </c>
      <c r="W21">
        <v>0</v>
      </c>
      <c r="X21">
        <v>1188625873</v>
      </c>
      <c r="Y21">
        <v>0.66</v>
      </c>
      <c r="AA21">
        <v>0</v>
      </c>
      <c r="AB21">
        <v>187.25</v>
      </c>
      <c r="AC21">
        <v>13.5</v>
      </c>
      <c r="AD21">
        <v>0</v>
      </c>
      <c r="AE21">
        <v>0</v>
      </c>
      <c r="AF21">
        <v>31.26</v>
      </c>
      <c r="AG21">
        <v>13.5</v>
      </c>
      <c r="AH21">
        <v>0</v>
      </c>
      <c r="AI21">
        <v>1</v>
      </c>
      <c r="AJ21">
        <v>5.99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0.66</v>
      </c>
      <c r="AU21" t="s">
        <v>6</v>
      </c>
      <c r="AV21">
        <v>0</v>
      </c>
      <c r="AW21">
        <v>2</v>
      </c>
      <c r="AX21">
        <v>16481711</v>
      </c>
      <c r="AY21">
        <v>1</v>
      </c>
      <c r="AZ21">
        <v>0</v>
      </c>
      <c r="BA21">
        <v>20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Y21*Source!I27</f>
        <v>0.68309999999999993</v>
      </c>
      <c r="CY21">
        <f>AB21</f>
        <v>187.25</v>
      </c>
      <c r="CZ21">
        <f>AF21</f>
        <v>31.26</v>
      </c>
      <c r="DA21">
        <f>AJ21</f>
        <v>5.99</v>
      </c>
      <c r="DB21">
        <v>0</v>
      </c>
    </row>
    <row r="22" spans="1:106" x14ac:dyDescent="0.2">
      <c r="A22">
        <f>ROW(Source!A27)</f>
        <v>27</v>
      </c>
      <c r="B22">
        <v>16481627</v>
      </c>
      <c r="C22">
        <v>16481696</v>
      </c>
      <c r="D22">
        <v>15249073</v>
      </c>
      <c r="E22">
        <v>1</v>
      </c>
      <c r="F22">
        <v>1</v>
      </c>
      <c r="G22">
        <v>1</v>
      </c>
      <c r="H22">
        <v>2</v>
      </c>
      <c r="I22" t="s">
        <v>263</v>
      </c>
      <c r="J22" t="s">
        <v>264</v>
      </c>
      <c r="K22" t="s">
        <v>265</v>
      </c>
      <c r="L22">
        <v>1368</v>
      </c>
      <c r="N22">
        <v>1011</v>
      </c>
      <c r="O22" t="s">
        <v>260</v>
      </c>
      <c r="P22" t="s">
        <v>260</v>
      </c>
      <c r="Q22">
        <v>1</v>
      </c>
      <c r="W22">
        <v>0</v>
      </c>
      <c r="X22">
        <v>1372534845</v>
      </c>
      <c r="Y22">
        <v>3.57</v>
      </c>
      <c r="AA22">
        <v>0</v>
      </c>
      <c r="AB22">
        <v>393.6</v>
      </c>
      <c r="AC22">
        <v>11.6</v>
      </c>
      <c r="AD22">
        <v>0</v>
      </c>
      <c r="AE22">
        <v>0</v>
      </c>
      <c r="AF22">
        <v>65.709999999999994</v>
      </c>
      <c r="AG22">
        <v>11.6</v>
      </c>
      <c r="AH22">
        <v>0</v>
      </c>
      <c r="AI22">
        <v>1</v>
      </c>
      <c r="AJ22">
        <v>5.99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3.57</v>
      </c>
      <c r="AU22" t="s">
        <v>6</v>
      </c>
      <c r="AV22">
        <v>0</v>
      </c>
      <c r="AW22">
        <v>2</v>
      </c>
      <c r="AX22">
        <v>16481712</v>
      </c>
      <c r="AY22">
        <v>1</v>
      </c>
      <c r="AZ22">
        <v>0</v>
      </c>
      <c r="BA22">
        <v>21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Y22*Source!I27</f>
        <v>3.6949499999999995</v>
      </c>
      <c r="CY22">
        <f>AB22</f>
        <v>393.6</v>
      </c>
      <c r="CZ22">
        <f>AF22</f>
        <v>65.709999999999994</v>
      </c>
      <c r="DA22">
        <f>AJ22</f>
        <v>5.99</v>
      </c>
      <c r="DB22">
        <v>0</v>
      </c>
    </row>
    <row r="23" spans="1:106" x14ac:dyDescent="0.2">
      <c r="A23">
        <f>ROW(Source!A27)</f>
        <v>27</v>
      </c>
      <c r="B23">
        <v>16481627</v>
      </c>
      <c r="C23">
        <v>16481696</v>
      </c>
      <c r="D23">
        <v>15167551</v>
      </c>
      <c r="E23">
        <v>1</v>
      </c>
      <c r="F23">
        <v>1</v>
      </c>
      <c r="G23">
        <v>1</v>
      </c>
      <c r="H23">
        <v>3</v>
      </c>
      <c r="I23" t="s">
        <v>266</v>
      </c>
      <c r="J23" t="s">
        <v>267</v>
      </c>
      <c r="K23" t="s">
        <v>268</v>
      </c>
      <c r="L23">
        <v>1301</v>
      </c>
      <c r="N23">
        <v>1003</v>
      </c>
      <c r="O23" t="s">
        <v>45</v>
      </c>
      <c r="P23" t="s">
        <v>45</v>
      </c>
      <c r="Q23">
        <v>1</v>
      </c>
      <c r="W23">
        <v>0</v>
      </c>
      <c r="X23">
        <v>751777312</v>
      </c>
      <c r="Y23">
        <v>253</v>
      </c>
      <c r="AA23">
        <v>38.22</v>
      </c>
      <c r="AB23">
        <v>0</v>
      </c>
      <c r="AC23">
        <v>0</v>
      </c>
      <c r="AD23">
        <v>0</v>
      </c>
      <c r="AE23">
        <v>6.38</v>
      </c>
      <c r="AF23">
        <v>0</v>
      </c>
      <c r="AG23">
        <v>0</v>
      </c>
      <c r="AH23">
        <v>0</v>
      </c>
      <c r="AI23">
        <v>5.99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253</v>
      </c>
      <c r="AU23" t="s">
        <v>6</v>
      </c>
      <c r="AV23">
        <v>0</v>
      </c>
      <c r="AW23">
        <v>2</v>
      </c>
      <c r="AX23">
        <v>16481713</v>
      </c>
      <c r="AY23">
        <v>1</v>
      </c>
      <c r="AZ23">
        <v>0</v>
      </c>
      <c r="BA23">
        <v>22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Y23*Source!I27</f>
        <v>261.85499999999996</v>
      </c>
      <c r="CY23">
        <f t="shared" ref="CY23:CY30" si="3">AA23</f>
        <v>38.22</v>
      </c>
      <c r="CZ23">
        <f t="shared" ref="CZ23:CZ30" si="4">AE23</f>
        <v>6.38</v>
      </c>
      <c r="DA23">
        <f t="shared" ref="DA23:DA30" si="5">AI23</f>
        <v>5.99</v>
      </c>
      <c r="DB23">
        <v>0</v>
      </c>
    </row>
    <row r="24" spans="1:106" x14ac:dyDescent="0.2">
      <c r="A24">
        <f>ROW(Source!A27)</f>
        <v>27</v>
      </c>
      <c r="B24">
        <v>16481627</v>
      </c>
      <c r="C24">
        <v>16481696</v>
      </c>
      <c r="D24">
        <v>15167552</v>
      </c>
      <c r="E24">
        <v>1</v>
      </c>
      <c r="F24">
        <v>1</v>
      </c>
      <c r="G24">
        <v>1</v>
      </c>
      <c r="H24">
        <v>3</v>
      </c>
      <c r="I24" t="s">
        <v>269</v>
      </c>
      <c r="J24" t="s">
        <v>270</v>
      </c>
      <c r="K24" t="s">
        <v>271</v>
      </c>
      <c r="L24">
        <v>1301</v>
      </c>
      <c r="N24">
        <v>1003</v>
      </c>
      <c r="O24" t="s">
        <v>45</v>
      </c>
      <c r="P24" t="s">
        <v>45</v>
      </c>
      <c r="Q24">
        <v>1</v>
      </c>
      <c r="W24">
        <v>0</v>
      </c>
      <c r="X24">
        <v>1744203244</v>
      </c>
      <c r="Y24">
        <v>59</v>
      </c>
      <c r="AA24">
        <v>47.62</v>
      </c>
      <c r="AB24">
        <v>0</v>
      </c>
      <c r="AC24">
        <v>0</v>
      </c>
      <c r="AD24">
        <v>0</v>
      </c>
      <c r="AE24">
        <v>7.95</v>
      </c>
      <c r="AF24">
        <v>0</v>
      </c>
      <c r="AG24">
        <v>0</v>
      </c>
      <c r="AH24">
        <v>0</v>
      </c>
      <c r="AI24">
        <v>5.99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59</v>
      </c>
      <c r="AU24" t="s">
        <v>6</v>
      </c>
      <c r="AV24">
        <v>0</v>
      </c>
      <c r="AW24">
        <v>2</v>
      </c>
      <c r="AX24">
        <v>16481714</v>
      </c>
      <c r="AY24">
        <v>1</v>
      </c>
      <c r="AZ24">
        <v>0</v>
      </c>
      <c r="BA24">
        <v>23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Y24*Source!I27</f>
        <v>61.064999999999998</v>
      </c>
      <c r="CY24">
        <f t="shared" si="3"/>
        <v>47.62</v>
      </c>
      <c r="CZ24">
        <f t="shared" si="4"/>
        <v>7.95</v>
      </c>
      <c r="DA24">
        <f t="shared" si="5"/>
        <v>5.99</v>
      </c>
      <c r="DB24">
        <v>0</v>
      </c>
    </row>
    <row r="25" spans="1:106" x14ac:dyDescent="0.2">
      <c r="A25">
        <f>ROW(Source!A27)</f>
        <v>27</v>
      </c>
      <c r="B25">
        <v>16481627</v>
      </c>
      <c r="C25">
        <v>16481696</v>
      </c>
      <c r="D25">
        <v>15167640</v>
      </c>
      <c r="E25">
        <v>1</v>
      </c>
      <c r="F25">
        <v>1</v>
      </c>
      <c r="G25">
        <v>1</v>
      </c>
      <c r="H25">
        <v>3</v>
      </c>
      <c r="I25" t="s">
        <v>272</v>
      </c>
      <c r="J25" t="s">
        <v>273</v>
      </c>
      <c r="K25" t="s">
        <v>274</v>
      </c>
      <c r="L25">
        <v>1302</v>
      </c>
      <c r="N25">
        <v>1003</v>
      </c>
      <c r="O25" t="s">
        <v>275</v>
      </c>
      <c r="P25" t="s">
        <v>275</v>
      </c>
      <c r="Q25">
        <v>10</v>
      </c>
      <c r="W25">
        <v>0</v>
      </c>
      <c r="X25">
        <v>-405326455</v>
      </c>
      <c r="Y25">
        <v>15.9</v>
      </c>
      <c r="AA25">
        <v>383.96</v>
      </c>
      <c r="AB25">
        <v>0</v>
      </c>
      <c r="AC25">
        <v>0</v>
      </c>
      <c r="AD25">
        <v>0</v>
      </c>
      <c r="AE25">
        <v>64.099999999999994</v>
      </c>
      <c r="AF25">
        <v>0</v>
      </c>
      <c r="AG25">
        <v>0</v>
      </c>
      <c r="AH25">
        <v>0</v>
      </c>
      <c r="AI25">
        <v>5.99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15.9</v>
      </c>
      <c r="AU25" t="s">
        <v>6</v>
      </c>
      <c r="AV25">
        <v>0</v>
      </c>
      <c r="AW25">
        <v>2</v>
      </c>
      <c r="AX25">
        <v>16481715</v>
      </c>
      <c r="AY25">
        <v>1</v>
      </c>
      <c r="AZ25">
        <v>0</v>
      </c>
      <c r="BA25">
        <v>24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Y25*Source!I27</f>
        <v>16.456499999999998</v>
      </c>
      <c r="CY25">
        <f t="shared" si="3"/>
        <v>383.96</v>
      </c>
      <c r="CZ25">
        <f t="shared" si="4"/>
        <v>64.099999999999994</v>
      </c>
      <c r="DA25">
        <f t="shared" si="5"/>
        <v>5.99</v>
      </c>
      <c r="DB25">
        <v>0</v>
      </c>
    </row>
    <row r="26" spans="1:106" x14ac:dyDescent="0.2">
      <c r="A26">
        <f>ROW(Source!A27)</f>
        <v>27</v>
      </c>
      <c r="B26">
        <v>16481627</v>
      </c>
      <c r="C26">
        <v>16481696</v>
      </c>
      <c r="D26">
        <v>15170065</v>
      </c>
      <c r="E26">
        <v>1</v>
      </c>
      <c r="F26">
        <v>1</v>
      </c>
      <c r="G26">
        <v>1</v>
      </c>
      <c r="H26">
        <v>3</v>
      </c>
      <c r="I26" t="s">
        <v>276</v>
      </c>
      <c r="J26" t="s">
        <v>277</v>
      </c>
      <c r="K26" t="s">
        <v>278</v>
      </c>
      <c r="L26">
        <v>1358</v>
      </c>
      <c r="N26">
        <v>1010</v>
      </c>
      <c r="O26" t="s">
        <v>279</v>
      </c>
      <c r="P26" t="s">
        <v>279</v>
      </c>
      <c r="Q26">
        <v>10</v>
      </c>
      <c r="W26">
        <v>0</v>
      </c>
      <c r="X26">
        <v>-858120743</v>
      </c>
      <c r="Y26">
        <v>41.2</v>
      </c>
      <c r="AA26">
        <v>42.11</v>
      </c>
      <c r="AB26">
        <v>0</v>
      </c>
      <c r="AC26">
        <v>0</v>
      </c>
      <c r="AD26">
        <v>0</v>
      </c>
      <c r="AE26">
        <v>7.03</v>
      </c>
      <c r="AF26">
        <v>0</v>
      </c>
      <c r="AG26">
        <v>0</v>
      </c>
      <c r="AH26">
        <v>0</v>
      </c>
      <c r="AI26">
        <v>5.99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41.2</v>
      </c>
      <c r="AU26" t="s">
        <v>6</v>
      </c>
      <c r="AV26">
        <v>0</v>
      </c>
      <c r="AW26">
        <v>2</v>
      </c>
      <c r="AX26">
        <v>16481716</v>
      </c>
      <c r="AY26">
        <v>1</v>
      </c>
      <c r="AZ26">
        <v>0</v>
      </c>
      <c r="BA26">
        <v>25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Y26*Source!I27</f>
        <v>42.642000000000003</v>
      </c>
      <c r="CY26">
        <f t="shared" si="3"/>
        <v>42.11</v>
      </c>
      <c r="CZ26">
        <f t="shared" si="4"/>
        <v>7.03</v>
      </c>
      <c r="DA26">
        <f t="shared" si="5"/>
        <v>5.99</v>
      </c>
      <c r="DB26">
        <v>0</v>
      </c>
    </row>
    <row r="27" spans="1:106" x14ac:dyDescent="0.2">
      <c r="A27">
        <f>ROW(Source!A27)</f>
        <v>27</v>
      </c>
      <c r="B27">
        <v>16481627</v>
      </c>
      <c r="C27">
        <v>16481696</v>
      </c>
      <c r="D27">
        <v>15197465</v>
      </c>
      <c r="E27">
        <v>1</v>
      </c>
      <c r="F27">
        <v>1</v>
      </c>
      <c r="G27">
        <v>1</v>
      </c>
      <c r="H27">
        <v>3</v>
      </c>
      <c r="I27" t="s">
        <v>34</v>
      </c>
      <c r="J27" t="s">
        <v>36</v>
      </c>
      <c r="K27" t="s">
        <v>35</v>
      </c>
      <c r="L27">
        <v>1327</v>
      </c>
      <c r="N27">
        <v>1005</v>
      </c>
      <c r="O27" t="s">
        <v>32</v>
      </c>
      <c r="P27" t="s">
        <v>32</v>
      </c>
      <c r="Q27">
        <v>1</v>
      </c>
      <c r="W27">
        <v>0</v>
      </c>
      <c r="X27">
        <v>2097510584</v>
      </c>
      <c r="Y27">
        <v>100</v>
      </c>
      <c r="AA27">
        <v>12425.54</v>
      </c>
      <c r="AB27">
        <v>0</v>
      </c>
      <c r="AC27">
        <v>0</v>
      </c>
      <c r="AD27">
        <v>0</v>
      </c>
      <c r="AE27">
        <v>2074.38</v>
      </c>
      <c r="AF27">
        <v>0</v>
      </c>
      <c r="AG27">
        <v>0</v>
      </c>
      <c r="AH27">
        <v>0</v>
      </c>
      <c r="AI27">
        <v>5.99</v>
      </c>
      <c r="AJ27">
        <v>1</v>
      </c>
      <c r="AK27">
        <v>1</v>
      </c>
      <c r="AL27">
        <v>1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6</v>
      </c>
      <c r="AT27">
        <v>100</v>
      </c>
      <c r="AU27" t="s">
        <v>6</v>
      </c>
      <c r="AV27">
        <v>0</v>
      </c>
      <c r="AW27">
        <v>1</v>
      </c>
      <c r="AX27">
        <v>-1</v>
      </c>
      <c r="AY27">
        <v>0</v>
      </c>
      <c r="AZ27">
        <v>0</v>
      </c>
      <c r="BA27" t="s">
        <v>6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Y27*Source!I27</f>
        <v>103.49999999999999</v>
      </c>
      <c r="CY27">
        <f t="shared" si="3"/>
        <v>12425.54</v>
      </c>
      <c r="CZ27">
        <f t="shared" si="4"/>
        <v>2074.38</v>
      </c>
      <c r="DA27">
        <f t="shared" si="5"/>
        <v>5.99</v>
      </c>
      <c r="DB27">
        <v>0</v>
      </c>
    </row>
    <row r="28" spans="1:106" x14ac:dyDescent="0.2">
      <c r="A28">
        <f>ROW(Source!A27)</f>
        <v>27</v>
      </c>
      <c r="B28">
        <v>16481627</v>
      </c>
      <c r="C28">
        <v>16481696</v>
      </c>
      <c r="D28">
        <v>15162466</v>
      </c>
      <c r="E28">
        <v>17</v>
      </c>
      <c r="F28">
        <v>1</v>
      </c>
      <c r="G28">
        <v>1</v>
      </c>
      <c r="H28">
        <v>3</v>
      </c>
      <c r="I28" t="s">
        <v>30</v>
      </c>
      <c r="J28" t="s">
        <v>6</v>
      </c>
      <c r="K28" t="s">
        <v>31</v>
      </c>
      <c r="L28">
        <v>1327</v>
      </c>
      <c r="N28">
        <v>1005</v>
      </c>
      <c r="O28" t="s">
        <v>32</v>
      </c>
      <c r="P28" t="s">
        <v>32</v>
      </c>
      <c r="Q28">
        <v>1</v>
      </c>
      <c r="W28">
        <v>0</v>
      </c>
      <c r="X28">
        <v>1219964505</v>
      </c>
      <c r="Y28">
        <v>100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5.99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</v>
      </c>
      <c r="AT28">
        <v>100</v>
      </c>
      <c r="AU28" t="s">
        <v>6</v>
      </c>
      <c r="AV28">
        <v>0</v>
      </c>
      <c r="AW28">
        <v>2</v>
      </c>
      <c r="AX28">
        <v>16481717</v>
      </c>
      <c r="AY28">
        <v>1</v>
      </c>
      <c r="AZ28">
        <v>0</v>
      </c>
      <c r="BA28">
        <v>26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Y28*Source!I27</f>
        <v>103.49999999999999</v>
      </c>
      <c r="CY28">
        <f t="shared" si="3"/>
        <v>0</v>
      </c>
      <c r="CZ28">
        <f t="shared" si="4"/>
        <v>0</v>
      </c>
      <c r="DA28">
        <f t="shared" si="5"/>
        <v>5.99</v>
      </c>
      <c r="DB28">
        <v>0</v>
      </c>
    </row>
    <row r="29" spans="1:106" x14ac:dyDescent="0.2">
      <c r="A29">
        <f>ROW(Source!A27)</f>
        <v>27</v>
      </c>
      <c r="B29">
        <v>16481627</v>
      </c>
      <c r="C29">
        <v>16481696</v>
      </c>
      <c r="D29">
        <v>15197780</v>
      </c>
      <c r="E29">
        <v>1</v>
      </c>
      <c r="F29">
        <v>1</v>
      </c>
      <c r="G29">
        <v>1</v>
      </c>
      <c r="H29">
        <v>3</v>
      </c>
      <c r="I29" t="s">
        <v>280</v>
      </c>
      <c r="J29" t="s">
        <v>281</v>
      </c>
      <c r="K29" t="s">
        <v>282</v>
      </c>
      <c r="L29">
        <v>1355</v>
      </c>
      <c r="N29">
        <v>1010</v>
      </c>
      <c r="O29" t="s">
        <v>283</v>
      </c>
      <c r="P29" t="s">
        <v>283</v>
      </c>
      <c r="Q29">
        <v>100</v>
      </c>
      <c r="W29">
        <v>0</v>
      </c>
      <c r="X29">
        <v>1709713925</v>
      </c>
      <c r="Y29">
        <v>8</v>
      </c>
      <c r="AA29">
        <v>299.5</v>
      </c>
      <c r="AB29">
        <v>0</v>
      </c>
      <c r="AC29">
        <v>0</v>
      </c>
      <c r="AD29">
        <v>0</v>
      </c>
      <c r="AE29">
        <v>50</v>
      </c>
      <c r="AF29">
        <v>0</v>
      </c>
      <c r="AG29">
        <v>0</v>
      </c>
      <c r="AH29">
        <v>0</v>
      </c>
      <c r="AI29">
        <v>5.99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8</v>
      </c>
      <c r="AU29" t="s">
        <v>6</v>
      </c>
      <c r="AV29">
        <v>0</v>
      </c>
      <c r="AW29">
        <v>2</v>
      </c>
      <c r="AX29">
        <v>16481718</v>
      </c>
      <c r="AY29">
        <v>1</v>
      </c>
      <c r="AZ29">
        <v>0</v>
      </c>
      <c r="BA29">
        <v>27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Y29*Source!I27</f>
        <v>8.2799999999999994</v>
      </c>
      <c r="CY29">
        <f t="shared" si="3"/>
        <v>299.5</v>
      </c>
      <c r="CZ29">
        <f t="shared" si="4"/>
        <v>50</v>
      </c>
      <c r="DA29">
        <f t="shared" si="5"/>
        <v>5.99</v>
      </c>
      <c r="DB29">
        <v>0</v>
      </c>
    </row>
    <row r="30" spans="1:106" x14ac:dyDescent="0.2">
      <c r="A30">
        <f>ROW(Source!A27)</f>
        <v>27</v>
      </c>
      <c r="B30">
        <v>16481627</v>
      </c>
      <c r="C30">
        <v>16481696</v>
      </c>
      <c r="D30">
        <v>15204239</v>
      </c>
      <c r="E30">
        <v>1</v>
      </c>
      <c r="F30">
        <v>1</v>
      </c>
      <c r="G30">
        <v>1</v>
      </c>
      <c r="H30">
        <v>3</v>
      </c>
      <c r="I30" t="s">
        <v>284</v>
      </c>
      <c r="J30" t="s">
        <v>285</v>
      </c>
      <c r="K30" t="s">
        <v>286</v>
      </c>
      <c r="L30">
        <v>1354</v>
      </c>
      <c r="N30">
        <v>1010</v>
      </c>
      <c r="O30" t="s">
        <v>287</v>
      </c>
      <c r="P30" t="s">
        <v>287</v>
      </c>
      <c r="Q30">
        <v>1</v>
      </c>
      <c r="W30">
        <v>0</v>
      </c>
      <c r="X30">
        <v>-1018551266</v>
      </c>
      <c r="Y30">
        <v>71</v>
      </c>
      <c r="AA30">
        <v>401.33</v>
      </c>
      <c r="AB30">
        <v>0</v>
      </c>
      <c r="AC30">
        <v>0</v>
      </c>
      <c r="AD30">
        <v>0</v>
      </c>
      <c r="AE30">
        <v>67</v>
      </c>
      <c r="AF30">
        <v>0</v>
      </c>
      <c r="AG30">
        <v>0</v>
      </c>
      <c r="AH30">
        <v>0</v>
      </c>
      <c r="AI30">
        <v>5.99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71</v>
      </c>
      <c r="AU30" t="s">
        <v>6</v>
      </c>
      <c r="AV30">
        <v>0</v>
      </c>
      <c r="AW30">
        <v>2</v>
      </c>
      <c r="AX30">
        <v>16481719</v>
      </c>
      <c r="AY30">
        <v>1</v>
      </c>
      <c r="AZ30">
        <v>0</v>
      </c>
      <c r="BA30">
        <v>28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Y30*Source!I27</f>
        <v>73.484999999999999</v>
      </c>
      <c r="CY30">
        <f t="shared" si="3"/>
        <v>401.33</v>
      </c>
      <c r="CZ30">
        <f t="shared" si="4"/>
        <v>67</v>
      </c>
      <c r="DA30">
        <f t="shared" si="5"/>
        <v>5.99</v>
      </c>
      <c r="DB30">
        <v>0</v>
      </c>
    </row>
    <row r="31" spans="1:106" x14ac:dyDescent="0.2">
      <c r="A31">
        <f>ROW(Source!A32)</f>
        <v>32</v>
      </c>
      <c r="B31">
        <v>16481626</v>
      </c>
      <c r="C31">
        <v>16481722</v>
      </c>
      <c r="D31">
        <v>15430767</v>
      </c>
      <c r="E31">
        <v>1</v>
      </c>
      <c r="F31">
        <v>1</v>
      </c>
      <c r="G31">
        <v>1</v>
      </c>
      <c r="H31">
        <v>1</v>
      </c>
      <c r="I31" t="s">
        <v>288</v>
      </c>
      <c r="J31" t="s">
        <v>6</v>
      </c>
      <c r="K31" t="s">
        <v>289</v>
      </c>
      <c r="L31">
        <v>1191</v>
      </c>
      <c r="N31">
        <v>1013</v>
      </c>
      <c r="O31" t="s">
        <v>254</v>
      </c>
      <c r="P31" t="s">
        <v>254</v>
      </c>
      <c r="Q31">
        <v>1</v>
      </c>
      <c r="W31">
        <v>0</v>
      </c>
      <c r="X31">
        <v>-400197608</v>
      </c>
      <c r="Y31">
        <v>21.38</v>
      </c>
      <c r="AA31">
        <v>0</v>
      </c>
      <c r="AB31">
        <v>0</v>
      </c>
      <c r="AC31">
        <v>0</v>
      </c>
      <c r="AD31">
        <v>8.5299999999999994</v>
      </c>
      <c r="AE31">
        <v>0</v>
      </c>
      <c r="AF31">
        <v>0</v>
      </c>
      <c r="AG31">
        <v>0</v>
      </c>
      <c r="AH31">
        <v>8.5299999999999994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21.38</v>
      </c>
      <c r="AU31" t="s">
        <v>6</v>
      </c>
      <c r="AV31">
        <v>1</v>
      </c>
      <c r="AW31">
        <v>2</v>
      </c>
      <c r="AX31">
        <v>16481730</v>
      </c>
      <c r="AY31">
        <v>1</v>
      </c>
      <c r="AZ31">
        <v>0</v>
      </c>
      <c r="BA31">
        <v>29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Y31*Source!I32</f>
        <v>4.4256599999999997</v>
      </c>
      <c r="CY31">
        <f>AD31</f>
        <v>8.5299999999999994</v>
      </c>
      <c r="CZ31">
        <f>AH31</f>
        <v>8.5299999999999994</v>
      </c>
      <c r="DA31">
        <f>AL31</f>
        <v>1</v>
      </c>
      <c r="DB31">
        <v>0</v>
      </c>
    </row>
    <row r="32" spans="1:106" x14ac:dyDescent="0.2">
      <c r="A32">
        <f>ROW(Source!A32)</f>
        <v>32</v>
      </c>
      <c r="B32">
        <v>16481626</v>
      </c>
      <c r="C32">
        <v>16481722</v>
      </c>
      <c r="D32">
        <v>15430395</v>
      </c>
      <c r="E32">
        <v>1</v>
      </c>
      <c r="F32">
        <v>1</v>
      </c>
      <c r="G32">
        <v>1</v>
      </c>
      <c r="H32">
        <v>1</v>
      </c>
      <c r="I32" t="s">
        <v>255</v>
      </c>
      <c r="J32" t="s">
        <v>6</v>
      </c>
      <c r="K32" t="s">
        <v>256</v>
      </c>
      <c r="L32">
        <v>1191</v>
      </c>
      <c r="N32">
        <v>1013</v>
      </c>
      <c r="O32" t="s">
        <v>254</v>
      </c>
      <c r="P32" t="s">
        <v>254</v>
      </c>
      <c r="Q32">
        <v>1</v>
      </c>
      <c r="W32">
        <v>0</v>
      </c>
      <c r="X32">
        <v>-1417349443</v>
      </c>
      <c r="Y32">
        <v>0.37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0.37</v>
      </c>
      <c r="AU32" t="s">
        <v>6</v>
      </c>
      <c r="AV32">
        <v>2</v>
      </c>
      <c r="AW32">
        <v>2</v>
      </c>
      <c r="AX32">
        <v>16481731</v>
      </c>
      <c r="AY32">
        <v>1</v>
      </c>
      <c r="AZ32">
        <v>0</v>
      </c>
      <c r="BA32">
        <v>30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Y32*Source!I32</f>
        <v>7.6589999999999991E-2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ROW(Source!A32)</f>
        <v>32</v>
      </c>
      <c r="B33">
        <v>16481626</v>
      </c>
      <c r="C33">
        <v>16481722</v>
      </c>
      <c r="D33">
        <v>15247974</v>
      </c>
      <c r="E33">
        <v>1</v>
      </c>
      <c r="F33">
        <v>1</v>
      </c>
      <c r="G33">
        <v>1</v>
      </c>
      <c r="H33">
        <v>2</v>
      </c>
      <c r="I33" t="s">
        <v>257</v>
      </c>
      <c r="J33" t="s">
        <v>258</v>
      </c>
      <c r="K33" t="s">
        <v>259</v>
      </c>
      <c r="L33">
        <v>1368</v>
      </c>
      <c r="N33">
        <v>1011</v>
      </c>
      <c r="O33" t="s">
        <v>260</v>
      </c>
      <c r="P33" t="s">
        <v>260</v>
      </c>
      <c r="Q33">
        <v>1</v>
      </c>
      <c r="W33">
        <v>0</v>
      </c>
      <c r="X33">
        <v>1188625873</v>
      </c>
      <c r="Y33">
        <v>7.0000000000000007E-2</v>
      </c>
      <c r="AA33">
        <v>0</v>
      </c>
      <c r="AB33">
        <v>31.26</v>
      </c>
      <c r="AC33">
        <v>13.5</v>
      </c>
      <c r="AD33">
        <v>0</v>
      </c>
      <c r="AE33">
        <v>0</v>
      </c>
      <c r="AF33">
        <v>31.26</v>
      </c>
      <c r="AG33">
        <v>13.5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7.0000000000000007E-2</v>
      </c>
      <c r="AU33" t="s">
        <v>6</v>
      </c>
      <c r="AV33">
        <v>0</v>
      </c>
      <c r="AW33">
        <v>2</v>
      </c>
      <c r="AX33">
        <v>16481732</v>
      </c>
      <c r="AY33">
        <v>1</v>
      </c>
      <c r="AZ33">
        <v>0</v>
      </c>
      <c r="BA33">
        <v>31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Y33*Source!I32</f>
        <v>1.4490000000000001E-2</v>
      </c>
      <c r="CY33">
        <f>AB33</f>
        <v>31.26</v>
      </c>
      <c r="CZ33">
        <f>AF33</f>
        <v>31.26</v>
      </c>
      <c r="DA33">
        <f>AJ33</f>
        <v>1</v>
      </c>
      <c r="DB33">
        <v>0</v>
      </c>
    </row>
    <row r="34" spans="1:106" x14ac:dyDescent="0.2">
      <c r="A34">
        <f>ROW(Source!A32)</f>
        <v>32</v>
      </c>
      <c r="B34">
        <v>16481626</v>
      </c>
      <c r="C34">
        <v>16481722</v>
      </c>
      <c r="D34">
        <v>15249073</v>
      </c>
      <c r="E34">
        <v>1</v>
      </c>
      <c r="F34">
        <v>1</v>
      </c>
      <c r="G34">
        <v>1</v>
      </c>
      <c r="H34">
        <v>2</v>
      </c>
      <c r="I34" t="s">
        <v>263</v>
      </c>
      <c r="J34" t="s">
        <v>264</v>
      </c>
      <c r="K34" t="s">
        <v>265</v>
      </c>
      <c r="L34">
        <v>1368</v>
      </c>
      <c r="N34">
        <v>1011</v>
      </c>
      <c r="O34" t="s">
        <v>260</v>
      </c>
      <c r="P34" t="s">
        <v>260</v>
      </c>
      <c r="Q34">
        <v>1</v>
      </c>
      <c r="W34">
        <v>0</v>
      </c>
      <c r="X34">
        <v>1372534845</v>
      </c>
      <c r="Y34">
        <v>0.3</v>
      </c>
      <c r="AA34">
        <v>0</v>
      </c>
      <c r="AB34">
        <v>65.709999999999994</v>
      </c>
      <c r="AC34">
        <v>11.6</v>
      </c>
      <c r="AD34">
        <v>0</v>
      </c>
      <c r="AE34">
        <v>0</v>
      </c>
      <c r="AF34">
        <v>65.709999999999994</v>
      </c>
      <c r="AG34">
        <v>11.6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0.3</v>
      </c>
      <c r="AU34" t="s">
        <v>6</v>
      </c>
      <c r="AV34">
        <v>0</v>
      </c>
      <c r="AW34">
        <v>2</v>
      </c>
      <c r="AX34">
        <v>16481733</v>
      </c>
      <c r="AY34">
        <v>1</v>
      </c>
      <c r="AZ34">
        <v>0</v>
      </c>
      <c r="BA34">
        <v>32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Y34*Source!I32</f>
        <v>6.2099999999999995E-2</v>
      </c>
      <c r="CY34">
        <f>AB34</f>
        <v>65.709999999999994</v>
      </c>
      <c r="CZ34">
        <f>AF34</f>
        <v>65.709999999999994</v>
      </c>
      <c r="DA34">
        <f>AJ34</f>
        <v>1</v>
      </c>
      <c r="DB34">
        <v>0</v>
      </c>
    </row>
    <row r="35" spans="1:106" x14ac:dyDescent="0.2">
      <c r="A35">
        <f>ROW(Source!A32)</f>
        <v>32</v>
      </c>
      <c r="B35">
        <v>16481626</v>
      </c>
      <c r="C35">
        <v>16481722</v>
      </c>
      <c r="D35">
        <v>15197630</v>
      </c>
      <c r="E35">
        <v>1</v>
      </c>
      <c r="F35">
        <v>1</v>
      </c>
      <c r="G35">
        <v>1</v>
      </c>
      <c r="H35">
        <v>3</v>
      </c>
      <c r="I35" t="s">
        <v>43</v>
      </c>
      <c r="J35" t="s">
        <v>46</v>
      </c>
      <c r="K35" t="s">
        <v>44</v>
      </c>
      <c r="L35">
        <v>1301</v>
      </c>
      <c r="N35">
        <v>1003</v>
      </c>
      <c r="O35" t="s">
        <v>45</v>
      </c>
      <c r="P35" t="s">
        <v>45</v>
      </c>
      <c r="Q35">
        <v>1</v>
      </c>
      <c r="W35">
        <v>0</v>
      </c>
      <c r="X35">
        <v>1369221803</v>
      </c>
      <c r="Y35">
        <v>100</v>
      </c>
      <c r="AA35">
        <v>64.349999999999994</v>
      </c>
      <c r="AB35">
        <v>0</v>
      </c>
      <c r="AC35">
        <v>0</v>
      </c>
      <c r="AD35">
        <v>0</v>
      </c>
      <c r="AE35">
        <v>64.349999999999994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6</v>
      </c>
      <c r="AT35">
        <v>100</v>
      </c>
      <c r="AU35" t="s">
        <v>6</v>
      </c>
      <c r="AV35">
        <v>0</v>
      </c>
      <c r="AW35">
        <v>1</v>
      </c>
      <c r="AX35">
        <v>-1</v>
      </c>
      <c r="AY35">
        <v>0</v>
      </c>
      <c r="AZ35">
        <v>0</v>
      </c>
      <c r="BA35" t="s">
        <v>6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Y35*Source!I32</f>
        <v>20.7</v>
      </c>
      <c r="CY35">
        <f>AA35</f>
        <v>64.349999999999994</v>
      </c>
      <c r="CZ35">
        <f>AE35</f>
        <v>64.349999999999994</v>
      </c>
      <c r="DA35">
        <f>AI35</f>
        <v>1</v>
      </c>
      <c r="DB35">
        <v>0</v>
      </c>
    </row>
    <row r="36" spans="1:106" x14ac:dyDescent="0.2">
      <c r="A36">
        <f>ROW(Source!A32)</f>
        <v>32</v>
      </c>
      <c r="B36">
        <v>16481626</v>
      </c>
      <c r="C36">
        <v>16481722</v>
      </c>
      <c r="D36">
        <v>15197780</v>
      </c>
      <c r="E36">
        <v>1</v>
      </c>
      <c r="F36">
        <v>1</v>
      </c>
      <c r="G36">
        <v>1</v>
      </c>
      <c r="H36">
        <v>3</v>
      </c>
      <c r="I36" t="s">
        <v>280</v>
      </c>
      <c r="J36" t="s">
        <v>281</v>
      </c>
      <c r="K36" t="s">
        <v>282</v>
      </c>
      <c r="L36">
        <v>1355</v>
      </c>
      <c r="N36">
        <v>1010</v>
      </c>
      <c r="O36" t="s">
        <v>283</v>
      </c>
      <c r="P36" t="s">
        <v>283</v>
      </c>
      <c r="Q36">
        <v>100</v>
      </c>
      <c r="W36">
        <v>0</v>
      </c>
      <c r="X36">
        <v>1709713925</v>
      </c>
      <c r="Y36">
        <v>4</v>
      </c>
      <c r="AA36">
        <v>50</v>
      </c>
      <c r="AB36">
        <v>0</v>
      </c>
      <c r="AC36">
        <v>0</v>
      </c>
      <c r="AD36">
        <v>0</v>
      </c>
      <c r="AE36">
        <v>50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4</v>
      </c>
      <c r="AU36" t="s">
        <v>6</v>
      </c>
      <c r="AV36">
        <v>0</v>
      </c>
      <c r="AW36">
        <v>2</v>
      </c>
      <c r="AX36">
        <v>16481735</v>
      </c>
      <c r="AY36">
        <v>1</v>
      </c>
      <c r="AZ36">
        <v>0</v>
      </c>
      <c r="BA36">
        <v>34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Y36*Source!I32</f>
        <v>0.82799999999999996</v>
      </c>
      <c r="CY36">
        <f>AA36</f>
        <v>50</v>
      </c>
      <c r="CZ36">
        <f>AE36</f>
        <v>50</v>
      </c>
      <c r="DA36">
        <f>AI36</f>
        <v>1</v>
      </c>
      <c r="DB36">
        <v>0</v>
      </c>
    </row>
    <row r="37" spans="1:106" x14ac:dyDescent="0.2">
      <c r="A37">
        <f>ROW(Source!A32)</f>
        <v>32</v>
      </c>
      <c r="B37">
        <v>16481626</v>
      </c>
      <c r="C37">
        <v>16481722</v>
      </c>
      <c r="D37">
        <v>15204239</v>
      </c>
      <c r="E37">
        <v>1</v>
      </c>
      <c r="F37">
        <v>1</v>
      </c>
      <c r="G37">
        <v>1</v>
      </c>
      <c r="H37">
        <v>3</v>
      </c>
      <c r="I37" t="s">
        <v>284</v>
      </c>
      <c r="J37" t="s">
        <v>285</v>
      </c>
      <c r="K37" t="s">
        <v>286</v>
      </c>
      <c r="L37">
        <v>1354</v>
      </c>
      <c r="N37">
        <v>1010</v>
      </c>
      <c r="O37" t="s">
        <v>287</v>
      </c>
      <c r="P37" t="s">
        <v>287</v>
      </c>
      <c r="Q37">
        <v>1</v>
      </c>
      <c r="W37">
        <v>0</v>
      </c>
      <c r="X37">
        <v>-1018551266</v>
      </c>
      <c r="Y37">
        <v>90.7</v>
      </c>
      <c r="AA37">
        <v>67</v>
      </c>
      <c r="AB37">
        <v>0</v>
      </c>
      <c r="AC37">
        <v>0</v>
      </c>
      <c r="AD37">
        <v>0</v>
      </c>
      <c r="AE37">
        <v>67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90.7</v>
      </c>
      <c r="AU37" t="s">
        <v>6</v>
      </c>
      <c r="AV37">
        <v>0</v>
      </c>
      <c r="AW37">
        <v>2</v>
      </c>
      <c r="AX37">
        <v>16481736</v>
      </c>
      <c r="AY37">
        <v>1</v>
      </c>
      <c r="AZ37">
        <v>0</v>
      </c>
      <c r="BA37">
        <v>35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Y37*Source!I32</f>
        <v>18.774899999999999</v>
      </c>
      <c r="CY37">
        <f>AA37</f>
        <v>67</v>
      </c>
      <c r="CZ37">
        <f>AE37</f>
        <v>67</v>
      </c>
      <c r="DA37">
        <f>AI37</f>
        <v>1</v>
      </c>
      <c r="DB37">
        <v>0</v>
      </c>
    </row>
    <row r="38" spans="1:106" x14ac:dyDescent="0.2">
      <c r="A38">
        <f>ROW(Source!A33)</f>
        <v>33</v>
      </c>
      <c r="B38">
        <v>16481627</v>
      </c>
      <c r="C38">
        <v>16481722</v>
      </c>
      <c r="D38">
        <v>15430767</v>
      </c>
      <c r="E38">
        <v>1</v>
      </c>
      <c r="F38">
        <v>1</v>
      </c>
      <c r="G38">
        <v>1</v>
      </c>
      <c r="H38">
        <v>1</v>
      </c>
      <c r="I38" t="s">
        <v>288</v>
      </c>
      <c r="J38" t="s">
        <v>6</v>
      </c>
      <c r="K38" t="s">
        <v>289</v>
      </c>
      <c r="L38">
        <v>1191</v>
      </c>
      <c r="N38">
        <v>1013</v>
      </c>
      <c r="O38" t="s">
        <v>254</v>
      </c>
      <c r="P38" t="s">
        <v>254</v>
      </c>
      <c r="Q38">
        <v>1</v>
      </c>
      <c r="W38">
        <v>0</v>
      </c>
      <c r="X38">
        <v>-400197608</v>
      </c>
      <c r="Y38">
        <v>21.38</v>
      </c>
      <c r="AA38">
        <v>0</v>
      </c>
      <c r="AB38">
        <v>0</v>
      </c>
      <c r="AC38">
        <v>0</v>
      </c>
      <c r="AD38">
        <v>51.09</v>
      </c>
      <c r="AE38">
        <v>0</v>
      </c>
      <c r="AF38">
        <v>0</v>
      </c>
      <c r="AG38">
        <v>0</v>
      </c>
      <c r="AH38">
        <v>8.5299999999999994</v>
      </c>
      <c r="AI38">
        <v>1</v>
      </c>
      <c r="AJ38">
        <v>1</v>
      </c>
      <c r="AK38">
        <v>1</v>
      </c>
      <c r="AL38">
        <v>5.99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21.38</v>
      </c>
      <c r="AU38" t="s">
        <v>6</v>
      </c>
      <c r="AV38">
        <v>1</v>
      </c>
      <c r="AW38">
        <v>2</v>
      </c>
      <c r="AX38">
        <v>16481730</v>
      </c>
      <c r="AY38">
        <v>1</v>
      </c>
      <c r="AZ38">
        <v>0</v>
      </c>
      <c r="BA38">
        <v>36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Y38*Source!I33</f>
        <v>4.4256599999999997</v>
      </c>
      <c r="CY38">
        <f>AD38</f>
        <v>51.09</v>
      </c>
      <c r="CZ38">
        <f>AH38</f>
        <v>8.5299999999999994</v>
      </c>
      <c r="DA38">
        <f>AL38</f>
        <v>5.99</v>
      </c>
      <c r="DB38">
        <v>0</v>
      </c>
    </row>
    <row r="39" spans="1:106" x14ac:dyDescent="0.2">
      <c r="A39">
        <f>ROW(Source!A33)</f>
        <v>33</v>
      </c>
      <c r="B39">
        <v>16481627</v>
      </c>
      <c r="C39">
        <v>16481722</v>
      </c>
      <c r="D39">
        <v>15430395</v>
      </c>
      <c r="E39">
        <v>1</v>
      </c>
      <c r="F39">
        <v>1</v>
      </c>
      <c r="G39">
        <v>1</v>
      </c>
      <c r="H39">
        <v>1</v>
      </c>
      <c r="I39" t="s">
        <v>255</v>
      </c>
      <c r="J39" t="s">
        <v>6</v>
      </c>
      <c r="K39" t="s">
        <v>256</v>
      </c>
      <c r="L39">
        <v>1191</v>
      </c>
      <c r="N39">
        <v>1013</v>
      </c>
      <c r="O39" t="s">
        <v>254</v>
      </c>
      <c r="P39" t="s">
        <v>254</v>
      </c>
      <c r="Q39">
        <v>1</v>
      </c>
      <c r="W39">
        <v>0</v>
      </c>
      <c r="X39">
        <v>-1417349443</v>
      </c>
      <c r="Y39">
        <v>0.37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5.99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0.37</v>
      </c>
      <c r="AU39" t="s">
        <v>6</v>
      </c>
      <c r="AV39">
        <v>2</v>
      </c>
      <c r="AW39">
        <v>2</v>
      </c>
      <c r="AX39">
        <v>16481731</v>
      </c>
      <c r="AY39">
        <v>1</v>
      </c>
      <c r="AZ39">
        <v>0</v>
      </c>
      <c r="BA39">
        <v>37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Y39*Source!I33</f>
        <v>7.6589999999999991E-2</v>
      </c>
      <c r="CY39">
        <f>AD39</f>
        <v>0</v>
      </c>
      <c r="CZ39">
        <f>AH39</f>
        <v>0</v>
      </c>
      <c r="DA39">
        <f>AL39</f>
        <v>1</v>
      </c>
      <c r="DB39">
        <v>0</v>
      </c>
    </row>
    <row r="40" spans="1:106" x14ac:dyDescent="0.2">
      <c r="A40">
        <f>ROW(Source!A33)</f>
        <v>33</v>
      </c>
      <c r="B40">
        <v>16481627</v>
      </c>
      <c r="C40">
        <v>16481722</v>
      </c>
      <c r="D40">
        <v>15247974</v>
      </c>
      <c r="E40">
        <v>1</v>
      </c>
      <c r="F40">
        <v>1</v>
      </c>
      <c r="G40">
        <v>1</v>
      </c>
      <c r="H40">
        <v>2</v>
      </c>
      <c r="I40" t="s">
        <v>257</v>
      </c>
      <c r="J40" t="s">
        <v>258</v>
      </c>
      <c r="K40" t="s">
        <v>259</v>
      </c>
      <c r="L40">
        <v>1368</v>
      </c>
      <c r="N40">
        <v>1011</v>
      </c>
      <c r="O40" t="s">
        <v>260</v>
      </c>
      <c r="P40" t="s">
        <v>260</v>
      </c>
      <c r="Q40">
        <v>1</v>
      </c>
      <c r="W40">
        <v>0</v>
      </c>
      <c r="X40">
        <v>1188625873</v>
      </c>
      <c r="Y40">
        <v>7.0000000000000007E-2</v>
      </c>
      <c r="AA40">
        <v>0</v>
      </c>
      <c r="AB40">
        <v>187.25</v>
      </c>
      <c r="AC40">
        <v>13.5</v>
      </c>
      <c r="AD40">
        <v>0</v>
      </c>
      <c r="AE40">
        <v>0</v>
      </c>
      <c r="AF40">
        <v>31.26</v>
      </c>
      <c r="AG40">
        <v>13.5</v>
      </c>
      <c r="AH40">
        <v>0</v>
      </c>
      <c r="AI40">
        <v>1</v>
      </c>
      <c r="AJ40">
        <v>5.99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7.0000000000000007E-2</v>
      </c>
      <c r="AU40" t="s">
        <v>6</v>
      </c>
      <c r="AV40">
        <v>0</v>
      </c>
      <c r="AW40">
        <v>2</v>
      </c>
      <c r="AX40">
        <v>16481732</v>
      </c>
      <c r="AY40">
        <v>1</v>
      </c>
      <c r="AZ40">
        <v>0</v>
      </c>
      <c r="BA40">
        <v>38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Y40*Source!I33</f>
        <v>1.4490000000000001E-2</v>
      </c>
      <c r="CY40">
        <f>AB40</f>
        <v>187.25</v>
      </c>
      <c r="CZ40">
        <f>AF40</f>
        <v>31.26</v>
      </c>
      <c r="DA40">
        <f>AJ40</f>
        <v>5.99</v>
      </c>
      <c r="DB40">
        <v>0</v>
      </c>
    </row>
    <row r="41" spans="1:106" x14ac:dyDescent="0.2">
      <c r="A41">
        <f>ROW(Source!A33)</f>
        <v>33</v>
      </c>
      <c r="B41">
        <v>16481627</v>
      </c>
      <c r="C41">
        <v>16481722</v>
      </c>
      <c r="D41">
        <v>15249073</v>
      </c>
      <c r="E41">
        <v>1</v>
      </c>
      <c r="F41">
        <v>1</v>
      </c>
      <c r="G41">
        <v>1</v>
      </c>
      <c r="H41">
        <v>2</v>
      </c>
      <c r="I41" t="s">
        <v>263</v>
      </c>
      <c r="J41" t="s">
        <v>264</v>
      </c>
      <c r="K41" t="s">
        <v>265</v>
      </c>
      <c r="L41">
        <v>1368</v>
      </c>
      <c r="N41">
        <v>1011</v>
      </c>
      <c r="O41" t="s">
        <v>260</v>
      </c>
      <c r="P41" t="s">
        <v>260</v>
      </c>
      <c r="Q41">
        <v>1</v>
      </c>
      <c r="W41">
        <v>0</v>
      </c>
      <c r="X41">
        <v>1372534845</v>
      </c>
      <c r="Y41">
        <v>0.3</v>
      </c>
      <c r="AA41">
        <v>0</v>
      </c>
      <c r="AB41">
        <v>393.6</v>
      </c>
      <c r="AC41">
        <v>11.6</v>
      </c>
      <c r="AD41">
        <v>0</v>
      </c>
      <c r="AE41">
        <v>0</v>
      </c>
      <c r="AF41">
        <v>65.709999999999994</v>
      </c>
      <c r="AG41">
        <v>11.6</v>
      </c>
      <c r="AH41">
        <v>0</v>
      </c>
      <c r="AI41">
        <v>1</v>
      </c>
      <c r="AJ41">
        <v>5.99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0.3</v>
      </c>
      <c r="AU41" t="s">
        <v>6</v>
      </c>
      <c r="AV41">
        <v>0</v>
      </c>
      <c r="AW41">
        <v>2</v>
      </c>
      <c r="AX41">
        <v>16481733</v>
      </c>
      <c r="AY41">
        <v>1</v>
      </c>
      <c r="AZ41">
        <v>0</v>
      </c>
      <c r="BA41">
        <v>39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Y41*Source!I33</f>
        <v>6.2099999999999995E-2</v>
      </c>
      <c r="CY41">
        <f>AB41</f>
        <v>393.6</v>
      </c>
      <c r="CZ41">
        <f>AF41</f>
        <v>65.709999999999994</v>
      </c>
      <c r="DA41">
        <f>AJ41</f>
        <v>5.99</v>
      </c>
      <c r="DB41">
        <v>0</v>
      </c>
    </row>
    <row r="42" spans="1:106" x14ac:dyDescent="0.2">
      <c r="A42">
        <f>ROW(Source!A33)</f>
        <v>33</v>
      </c>
      <c r="B42">
        <v>16481627</v>
      </c>
      <c r="C42">
        <v>16481722</v>
      </c>
      <c r="D42">
        <v>15197630</v>
      </c>
      <c r="E42">
        <v>1</v>
      </c>
      <c r="F42">
        <v>1</v>
      </c>
      <c r="G42">
        <v>1</v>
      </c>
      <c r="H42">
        <v>3</v>
      </c>
      <c r="I42" t="s">
        <v>43</v>
      </c>
      <c r="J42" t="s">
        <v>46</v>
      </c>
      <c r="K42" t="s">
        <v>44</v>
      </c>
      <c r="L42">
        <v>1301</v>
      </c>
      <c r="N42">
        <v>1003</v>
      </c>
      <c r="O42" t="s">
        <v>45</v>
      </c>
      <c r="P42" t="s">
        <v>45</v>
      </c>
      <c r="Q42">
        <v>1</v>
      </c>
      <c r="W42">
        <v>0</v>
      </c>
      <c r="X42">
        <v>1369221803</v>
      </c>
      <c r="Y42">
        <v>100</v>
      </c>
      <c r="AA42">
        <v>385.46</v>
      </c>
      <c r="AB42">
        <v>0</v>
      </c>
      <c r="AC42">
        <v>0</v>
      </c>
      <c r="AD42">
        <v>0</v>
      </c>
      <c r="AE42">
        <v>64.349999999999994</v>
      </c>
      <c r="AF42">
        <v>0</v>
      </c>
      <c r="AG42">
        <v>0</v>
      </c>
      <c r="AH42">
        <v>0</v>
      </c>
      <c r="AI42">
        <v>5.99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6</v>
      </c>
      <c r="AT42">
        <v>100</v>
      </c>
      <c r="AU42" t="s">
        <v>6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Y42*Source!I33</f>
        <v>20.7</v>
      </c>
      <c r="CY42">
        <f>AA42</f>
        <v>385.46</v>
      </c>
      <c r="CZ42">
        <f>AE42</f>
        <v>64.349999999999994</v>
      </c>
      <c r="DA42">
        <f>AI42</f>
        <v>5.99</v>
      </c>
      <c r="DB42">
        <v>0</v>
      </c>
    </row>
    <row r="43" spans="1:106" x14ac:dyDescent="0.2">
      <c r="A43">
        <f>ROW(Source!A33)</f>
        <v>33</v>
      </c>
      <c r="B43">
        <v>16481627</v>
      </c>
      <c r="C43">
        <v>16481722</v>
      </c>
      <c r="D43">
        <v>15197780</v>
      </c>
      <c r="E43">
        <v>1</v>
      </c>
      <c r="F43">
        <v>1</v>
      </c>
      <c r="G43">
        <v>1</v>
      </c>
      <c r="H43">
        <v>3</v>
      </c>
      <c r="I43" t="s">
        <v>280</v>
      </c>
      <c r="J43" t="s">
        <v>281</v>
      </c>
      <c r="K43" t="s">
        <v>282</v>
      </c>
      <c r="L43">
        <v>1355</v>
      </c>
      <c r="N43">
        <v>1010</v>
      </c>
      <c r="O43" t="s">
        <v>283</v>
      </c>
      <c r="P43" t="s">
        <v>283</v>
      </c>
      <c r="Q43">
        <v>100</v>
      </c>
      <c r="W43">
        <v>0</v>
      </c>
      <c r="X43">
        <v>1709713925</v>
      </c>
      <c r="Y43">
        <v>4</v>
      </c>
      <c r="AA43">
        <v>299.5</v>
      </c>
      <c r="AB43">
        <v>0</v>
      </c>
      <c r="AC43">
        <v>0</v>
      </c>
      <c r="AD43">
        <v>0</v>
      </c>
      <c r="AE43">
        <v>50</v>
      </c>
      <c r="AF43">
        <v>0</v>
      </c>
      <c r="AG43">
        <v>0</v>
      </c>
      <c r="AH43">
        <v>0</v>
      </c>
      <c r="AI43">
        <v>5.99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4</v>
      </c>
      <c r="AU43" t="s">
        <v>6</v>
      </c>
      <c r="AV43">
        <v>0</v>
      </c>
      <c r="AW43">
        <v>2</v>
      </c>
      <c r="AX43">
        <v>16481735</v>
      </c>
      <c r="AY43">
        <v>1</v>
      </c>
      <c r="AZ43">
        <v>0</v>
      </c>
      <c r="BA43">
        <v>41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Y43*Source!I33</f>
        <v>0.82799999999999996</v>
      </c>
      <c r="CY43">
        <f>AA43</f>
        <v>299.5</v>
      </c>
      <c r="CZ43">
        <f>AE43</f>
        <v>50</v>
      </c>
      <c r="DA43">
        <f>AI43</f>
        <v>5.99</v>
      </c>
      <c r="DB43">
        <v>0</v>
      </c>
    </row>
    <row r="44" spans="1:106" x14ac:dyDescent="0.2">
      <c r="A44">
        <f>ROW(Source!A33)</f>
        <v>33</v>
      </c>
      <c r="B44">
        <v>16481627</v>
      </c>
      <c r="C44">
        <v>16481722</v>
      </c>
      <c r="D44">
        <v>15204239</v>
      </c>
      <c r="E44">
        <v>1</v>
      </c>
      <c r="F44">
        <v>1</v>
      </c>
      <c r="G44">
        <v>1</v>
      </c>
      <c r="H44">
        <v>3</v>
      </c>
      <c r="I44" t="s">
        <v>284</v>
      </c>
      <c r="J44" t="s">
        <v>285</v>
      </c>
      <c r="K44" t="s">
        <v>286</v>
      </c>
      <c r="L44">
        <v>1354</v>
      </c>
      <c r="N44">
        <v>1010</v>
      </c>
      <c r="O44" t="s">
        <v>287</v>
      </c>
      <c r="P44" t="s">
        <v>287</v>
      </c>
      <c r="Q44">
        <v>1</v>
      </c>
      <c r="W44">
        <v>0</v>
      </c>
      <c r="X44">
        <v>-1018551266</v>
      </c>
      <c r="Y44">
        <v>90.7</v>
      </c>
      <c r="AA44">
        <v>401.33</v>
      </c>
      <c r="AB44">
        <v>0</v>
      </c>
      <c r="AC44">
        <v>0</v>
      </c>
      <c r="AD44">
        <v>0</v>
      </c>
      <c r="AE44">
        <v>67</v>
      </c>
      <c r="AF44">
        <v>0</v>
      </c>
      <c r="AG44">
        <v>0</v>
      </c>
      <c r="AH44">
        <v>0</v>
      </c>
      <c r="AI44">
        <v>5.99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90.7</v>
      </c>
      <c r="AU44" t="s">
        <v>6</v>
      </c>
      <c r="AV44">
        <v>0</v>
      </c>
      <c r="AW44">
        <v>2</v>
      </c>
      <c r="AX44">
        <v>16481736</v>
      </c>
      <c r="AY44">
        <v>1</v>
      </c>
      <c r="AZ44">
        <v>0</v>
      </c>
      <c r="BA44">
        <v>42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Y44*Source!I33</f>
        <v>18.774899999999999</v>
      </c>
      <c r="CY44">
        <f>AA44</f>
        <v>401.33</v>
      </c>
      <c r="CZ44">
        <f>AE44</f>
        <v>67</v>
      </c>
      <c r="DA44">
        <f>AI44</f>
        <v>5.99</v>
      </c>
      <c r="DB44">
        <v>0</v>
      </c>
    </row>
    <row r="45" spans="1:106" x14ac:dyDescent="0.2">
      <c r="A45">
        <f>ROW(Source!A36)</f>
        <v>36</v>
      </c>
      <c r="B45">
        <v>16481626</v>
      </c>
      <c r="C45">
        <v>16481738</v>
      </c>
      <c r="D45">
        <v>15430767</v>
      </c>
      <c r="E45">
        <v>1</v>
      </c>
      <c r="F45">
        <v>1</v>
      </c>
      <c r="G45">
        <v>1</v>
      </c>
      <c r="H45">
        <v>1</v>
      </c>
      <c r="I45" t="s">
        <v>288</v>
      </c>
      <c r="J45" t="s">
        <v>6</v>
      </c>
      <c r="K45" t="s">
        <v>289</v>
      </c>
      <c r="L45">
        <v>1191</v>
      </c>
      <c r="N45">
        <v>1013</v>
      </c>
      <c r="O45" t="s">
        <v>254</v>
      </c>
      <c r="P45" t="s">
        <v>254</v>
      </c>
      <c r="Q45">
        <v>1</v>
      </c>
      <c r="W45">
        <v>0</v>
      </c>
      <c r="X45">
        <v>-400197608</v>
      </c>
      <c r="Y45">
        <v>41.41</v>
      </c>
      <c r="AA45">
        <v>0</v>
      </c>
      <c r="AB45">
        <v>0</v>
      </c>
      <c r="AC45">
        <v>0</v>
      </c>
      <c r="AD45">
        <v>8.5299999999999994</v>
      </c>
      <c r="AE45">
        <v>0</v>
      </c>
      <c r="AF45">
        <v>0</v>
      </c>
      <c r="AG45">
        <v>0</v>
      </c>
      <c r="AH45">
        <v>8.5299999999999994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41.41</v>
      </c>
      <c r="AU45" t="s">
        <v>6</v>
      </c>
      <c r="AV45">
        <v>1</v>
      </c>
      <c r="AW45">
        <v>2</v>
      </c>
      <c r="AX45">
        <v>16481749</v>
      </c>
      <c r="AY45">
        <v>1</v>
      </c>
      <c r="AZ45">
        <v>0</v>
      </c>
      <c r="BA45">
        <v>43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Y45*Source!I36</f>
        <v>8.5718699999999988</v>
      </c>
      <c r="CY45">
        <f>AD45</f>
        <v>8.5299999999999994</v>
      </c>
      <c r="CZ45">
        <f>AH45</f>
        <v>8.5299999999999994</v>
      </c>
      <c r="DA45">
        <f>AL45</f>
        <v>1</v>
      </c>
      <c r="DB45">
        <v>0</v>
      </c>
    </row>
    <row r="46" spans="1:106" x14ac:dyDescent="0.2">
      <c r="A46">
        <f>ROW(Source!A36)</f>
        <v>36</v>
      </c>
      <c r="B46">
        <v>16481626</v>
      </c>
      <c r="C46">
        <v>16481738</v>
      </c>
      <c r="D46">
        <v>15430395</v>
      </c>
      <c r="E46">
        <v>1</v>
      </c>
      <c r="F46">
        <v>1</v>
      </c>
      <c r="G46">
        <v>1</v>
      </c>
      <c r="H46">
        <v>1</v>
      </c>
      <c r="I46" t="s">
        <v>255</v>
      </c>
      <c r="J46" t="s">
        <v>6</v>
      </c>
      <c r="K46" t="s">
        <v>256</v>
      </c>
      <c r="L46">
        <v>1191</v>
      </c>
      <c r="N46">
        <v>1013</v>
      </c>
      <c r="O46" t="s">
        <v>254</v>
      </c>
      <c r="P46" t="s">
        <v>254</v>
      </c>
      <c r="Q46">
        <v>1</v>
      </c>
      <c r="W46">
        <v>0</v>
      </c>
      <c r="X46">
        <v>-1417349443</v>
      </c>
      <c r="Y46">
        <v>0.12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0.12</v>
      </c>
      <c r="AU46" t="s">
        <v>6</v>
      </c>
      <c r="AV46">
        <v>2</v>
      </c>
      <c r="AW46">
        <v>2</v>
      </c>
      <c r="AX46">
        <v>16481750</v>
      </c>
      <c r="AY46">
        <v>1</v>
      </c>
      <c r="AZ46">
        <v>0</v>
      </c>
      <c r="BA46">
        <v>44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Y46*Source!I36</f>
        <v>2.4839999999999997E-2</v>
      </c>
      <c r="CY46">
        <f>AD46</f>
        <v>0</v>
      </c>
      <c r="CZ46">
        <f>AH46</f>
        <v>0</v>
      </c>
      <c r="DA46">
        <f>AL46</f>
        <v>1</v>
      </c>
      <c r="DB46">
        <v>0</v>
      </c>
    </row>
    <row r="47" spans="1:106" x14ac:dyDescent="0.2">
      <c r="A47">
        <f>ROW(Source!A36)</f>
        <v>36</v>
      </c>
      <c r="B47">
        <v>16481626</v>
      </c>
      <c r="C47">
        <v>16481738</v>
      </c>
      <c r="D47">
        <v>15247974</v>
      </c>
      <c r="E47">
        <v>1</v>
      </c>
      <c r="F47">
        <v>1</v>
      </c>
      <c r="G47">
        <v>1</v>
      </c>
      <c r="H47">
        <v>2</v>
      </c>
      <c r="I47" t="s">
        <v>257</v>
      </c>
      <c r="J47" t="s">
        <v>258</v>
      </c>
      <c r="K47" t="s">
        <v>259</v>
      </c>
      <c r="L47">
        <v>1368</v>
      </c>
      <c r="N47">
        <v>1011</v>
      </c>
      <c r="O47" t="s">
        <v>260</v>
      </c>
      <c r="P47" t="s">
        <v>260</v>
      </c>
      <c r="Q47">
        <v>1</v>
      </c>
      <c r="W47">
        <v>0</v>
      </c>
      <c r="X47">
        <v>1188625873</v>
      </c>
      <c r="Y47">
        <v>0.08</v>
      </c>
      <c r="AA47">
        <v>0</v>
      </c>
      <c r="AB47">
        <v>31.26</v>
      </c>
      <c r="AC47">
        <v>13.5</v>
      </c>
      <c r="AD47">
        <v>0</v>
      </c>
      <c r="AE47">
        <v>0</v>
      </c>
      <c r="AF47">
        <v>31.26</v>
      </c>
      <c r="AG47">
        <v>13.5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0.08</v>
      </c>
      <c r="AU47" t="s">
        <v>6</v>
      </c>
      <c r="AV47">
        <v>0</v>
      </c>
      <c r="AW47">
        <v>2</v>
      </c>
      <c r="AX47">
        <v>16481751</v>
      </c>
      <c r="AY47">
        <v>1</v>
      </c>
      <c r="AZ47">
        <v>0</v>
      </c>
      <c r="BA47">
        <v>45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Y47*Source!I36</f>
        <v>1.6559999999999998E-2</v>
      </c>
      <c r="CY47">
        <f>AB47</f>
        <v>31.26</v>
      </c>
      <c r="CZ47">
        <f>AF47</f>
        <v>31.26</v>
      </c>
      <c r="DA47">
        <f>AJ47</f>
        <v>1</v>
      </c>
      <c r="DB47">
        <v>0</v>
      </c>
    </row>
    <row r="48" spans="1:106" x14ac:dyDescent="0.2">
      <c r="A48">
        <f>ROW(Source!A36)</f>
        <v>36</v>
      </c>
      <c r="B48">
        <v>16481626</v>
      </c>
      <c r="C48">
        <v>16481738</v>
      </c>
      <c r="D48">
        <v>15249073</v>
      </c>
      <c r="E48">
        <v>1</v>
      </c>
      <c r="F48">
        <v>1</v>
      </c>
      <c r="G48">
        <v>1</v>
      </c>
      <c r="H48">
        <v>2</v>
      </c>
      <c r="I48" t="s">
        <v>263</v>
      </c>
      <c r="J48" t="s">
        <v>264</v>
      </c>
      <c r="K48" t="s">
        <v>265</v>
      </c>
      <c r="L48">
        <v>1368</v>
      </c>
      <c r="N48">
        <v>1011</v>
      </c>
      <c r="O48" t="s">
        <v>260</v>
      </c>
      <c r="P48" t="s">
        <v>260</v>
      </c>
      <c r="Q48">
        <v>1</v>
      </c>
      <c r="W48">
        <v>0</v>
      </c>
      <c r="X48">
        <v>1372534845</v>
      </c>
      <c r="Y48">
        <v>0.04</v>
      </c>
      <c r="AA48">
        <v>0</v>
      </c>
      <c r="AB48">
        <v>65.709999999999994</v>
      </c>
      <c r="AC48">
        <v>11.6</v>
      </c>
      <c r="AD48">
        <v>0</v>
      </c>
      <c r="AE48">
        <v>0</v>
      </c>
      <c r="AF48">
        <v>65.709999999999994</v>
      </c>
      <c r="AG48">
        <v>11.6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0.04</v>
      </c>
      <c r="AU48" t="s">
        <v>6</v>
      </c>
      <c r="AV48">
        <v>0</v>
      </c>
      <c r="AW48">
        <v>2</v>
      </c>
      <c r="AX48">
        <v>16481752</v>
      </c>
      <c r="AY48">
        <v>1</v>
      </c>
      <c r="AZ48">
        <v>0</v>
      </c>
      <c r="BA48">
        <v>46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Y48*Source!I36</f>
        <v>8.2799999999999992E-3</v>
      </c>
      <c r="CY48">
        <f>AB48</f>
        <v>65.709999999999994</v>
      </c>
      <c r="CZ48">
        <f>AF48</f>
        <v>65.709999999999994</v>
      </c>
      <c r="DA48">
        <f>AJ48</f>
        <v>1</v>
      </c>
      <c r="DB48">
        <v>0</v>
      </c>
    </row>
    <row r="49" spans="1:106" x14ac:dyDescent="0.2">
      <c r="A49">
        <f>ROW(Source!A36)</f>
        <v>36</v>
      </c>
      <c r="B49">
        <v>16481626</v>
      </c>
      <c r="C49">
        <v>16481738</v>
      </c>
      <c r="D49">
        <v>15164566</v>
      </c>
      <c r="E49">
        <v>17</v>
      </c>
      <c r="F49">
        <v>1</v>
      </c>
      <c r="G49">
        <v>1</v>
      </c>
      <c r="H49">
        <v>3</v>
      </c>
      <c r="I49" t="s">
        <v>55</v>
      </c>
      <c r="J49" t="s">
        <v>6</v>
      </c>
      <c r="K49" t="s">
        <v>56</v>
      </c>
      <c r="L49">
        <v>1348</v>
      </c>
      <c r="N49">
        <v>1009</v>
      </c>
      <c r="O49" t="s">
        <v>57</v>
      </c>
      <c r="P49" t="s">
        <v>57</v>
      </c>
      <c r="Q49">
        <v>1000</v>
      </c>
      <c r="W49">
        <v>0</v>
      </c>
      <c r="X49">
        <v>-179832266</v>
      </c>
      <c r="Y49">
        <v>0.224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6</v>
      </c>
      <c r="AT49">
        <v>0.224</v>
      </c>
      <c r="AU49" t="s">
        <v>6</v>
      </c>
      <c r="AV49">
        <v>0</v>
      </c>
      <c r="AW49">
        <v>2</v>
      </c>
      <c r="AX49">
        <v>16481753</v>
      </c>
      <c r="AY49">
        <v>1</v>
      </c>
      <c r="AZ49">
        <v>0</v>
      </c>
      <c r="BA49">
        <v>47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Y49*Source!I36</f>
        <v>4.6367999999999999E-2</v>
      </c>
      <c r="CY49">
        <f t="shared" ref="CY49:CY54" si="6">AA49</f>
        <v>0</v>
      </c>
      <c r="CZ49">
        <f t="shared" ref="CZ49:CZ54" si="7">AE49</f>
        <v>0</v>
      </c>
      <c r="DA49">
        <f t="shared" ref="DA49:DA54" si="8">AI49</f>
        <v>1</v>
      </c>
      <c r="DB49">
        <v>0</v>
      </c>
    </row>
    <row r="50" spans="1:106" x14ac:dyDescent="0.2">
      <c r="A50">
        <f>ROW(Source!A36)</f>
        <v>36</v>
      </c>
      <c r="B50">
        <v>16481626</v>
      </c>
      <c r="C50">
        <v>16481738</v>
      </c>
      <c r="D50">
        <v>15170039</v>
      </c>
      <c r="E50">
        <v>1</v>
      </c>
      <c r="F50">
        <v>1</v>
      </c>
      <c r="G50">
        <v>1</v>
      </c>
      <c r="H50">
        <v>3</v>
      </c>
      <c r="I50" t="s">
        <v>290</v>
      </c>
      <c r="J50" t="s">
        <v>291</v>
      </c>
      <c r="K50" t="s">
        <v>292</v>
      </c>
      <c r="L50">
        <v>1348</v>
      </c>
      <c r="N50">
        <v>1009</v>
      </c>
      <c r="O50" t="s">
        <v>57</v>
      </c>
      <c r="P50" t="s">
        <v>57</v>
      </c>
      <c r="Q50">
        <v>1000</v>
      </c>
      <c r="W50">
        <v>0</v>
      </c>
      <c r="X50">
        <v>1174701286</v>
      </c>
      <c r="Y50">
        <v>4.0000000000000001E-3</v>
      </c>
      <c r="AA50">
        <v>11978</v>
      </c>
      <c r="AB50">
        <v>0</v>
      </c>
      <c r="AC50">
        <v>0</v>
      </c>
      <c r="AD50">
        <v>0</v>
      </c>
      <c r="AE50">
        <v>11978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4.0000000000000001E-3</v>
      </c>
      <c r="AU50" t="s">
        <v>6</v>
      </c>
      <c r="AV50">
        <v>0</v>
      </c>
      <c r="AW50">
        <v>2</v>
      </c>
      <c r="AX50">
        <v>16481754</v>
      </c>
      <c r="AY50">
        <v>1</v>
      </c>
      <c r="AZ50">
        <v>0</v>
      </c>
      <c r="BA50">
        <v>48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Y50*Source!I36</f>
        <v>8.2799999999999996E-4</v>
      </c>
      <c r="CY50">
        <f t="shared" si="6"/>
        <v>11978</v>
      </c>
      <c r="CZ50">
        <f t="shared" si="7"/>
        <v>11978</v>
      </c>
      <c r="DA50">
        <f t="shared" si="8"/>
        <v>1</v>
      </c>
      <c r="DB50">
        <v>0</v>
      </c>
    </row>
    <row r="51" spans="1:106" x14ac:dyDescent="0.2">
      <c r="A51">
        <f>ROW(Source!A36)</f>
        <v>36</v>
      </c>
      <c r="B51">
        <v>16481626</v>
      </c>
      <c r="C51">
        <v>16481738</v>
      </c>
      <c r="D51">
        <v>15189640</v>
      </c>
      <c r="E51">
        <v>1</v>
      </c>
      <c r="F51">
        <v>1</v>
      </c>
      <c r="G51">
        <v>1</v>
      </c>
      <c r="H51">
        <v>3</v>
      </c>
      <c r="I51" t="s">
        <v>66</v>
      </c>
      <c r="J51" t="s">
        <v>69</v>
      </c>
      <c r="K51" t="s">
        <v>67</v>
      </c>
      <c r="L51">
        <v>2233</v>
      </c>
      <c r="N51">
        <v>1013</v>
      </c>
      <c r="O51" t="s">
        <v>68</v>
      </c>
      <c r="P51" t="s">
        <v>68</v>
      </c>
      <c r="Q51">
        <v>1</v>
      </c>
      <c r="W51">
        <v>0</v>
      </c>
      <c r="X51">
        <v>977476121</v>
      </c>
      <c r="Y51">
        <v>100</v>
      </c>
      <c r="AA51">
        <v>26.41</v>
      </c>
      <c r="AB51">
        <v>0</v>
      </c>
      <c r="AC51">
        <v>0</v>
      </c>
      <c r="AD51">
        <v>0</v>
      </c>
      <c r="AE51">
        <v>26.41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6</v>
      </c>
      <c r="AT51">
        <v>100</v>
      </c>
      <c r="AU51" t="s">
        <v>6</v>
      </c>
      <c r="AV51">
        <v>0</v>
      </c>
      <c r="AW51">
        <v>1</v>
      </c>
      <c r="AX51">
        <v>-1</v>
      </c>
      <c r="AY51">
        <v>0</v>
      </c>
      <c r="AZ51">
        <v>0</v>
      </c>
      <c r="BA51" t="s">
        <v>6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Y51*Source!I36</f>
        <v>20.7</v>
      </c>
      <c r="CY51">
        <f t="shared" si="6"/>
        <v>26.41</v>
      </c>
      <c r="CZ51">
        <f t="shared" si="7"/>
        <v>26.41</v>
      </c>
      <c r="DA51">
        <f t="shared" si="8"/>
        <v>1</v>
      </c>
      <c r="DB51">
        <v>0</v>
      </c>
    </row>
    <row r="52" spans="1:106" x14ac:dyDescent="0.2">
      <c r="A52">
        <f>ROW(Source!A36)</f>
        <v>36</v>
      </c>
      <c r="B52">
        <v>16481626</v>
      </c>
      <c r="C52">
        <v>16481738</v>
      </c>
      <c r="D52">
        <v>15191139</v>
      </c>
      <c r="E52">
        <v>1</v>
      </c>
      <c r="F52">
        <v>1</v>
      </c>
      <c r="G52">
        <v>1</v>
      </c>
      <c r="H52">
        <v>3</v>
      </c>
      <c r="I52" t="s">
        <v>293</v>
      </c>
      <c r="J52" t="s">
        <v>294</v>
      </c>
      <c r="K52" t="s">
        <v>295</v>
      </c>
      <c r="L52">
        <v>1348</v>
      </c>
      <c r="N52">
        <v>1009</v>
      </c>
      <c r="O52" t="s">
        <v>57</v>
      </c>
      <c r="P52" t="s">
        <v>57</v>
      </c>
      <c r="Q52">
        <v>1000</v>
      </c>
      <c r="W52">
        <v>0</v>
      </c>
      <c r="X52">
        <v>-740471490</v>
      </c>
      <c r="Y52">
        <v>6.0000000000000001E-3</v>
      </c>
      <c r="AA52">
        <v>8023</v>
      </c>
      <c r="AB52">
        <v>0</v>
      </c>
      <c r="AC52">
        <v>0</v>
      </c>
      <c r="AD52">
        <v>0</v>
      </c>
      <c r="AE52">
        <v>8023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6.0000000000000001E-3</v>
      </c>
      <c r="AU52" t="s">
        <v>6</v>
      </c>
      <c r="AV52">
        <v>0</v>
      </c>
      <c r="AW52">
        <v>2</v>
      </c>
      <c r="AX52">
        <v>16481755</v>
      </c>
      <c r="AY52">
        <v>1</v>
      </c>
      <c r="AZ52">
        <v>0</v>
      </c>
      <c r="BA52">
        <v>49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Y52*Source!I36</f>
        <v>1.242E-3</v>
      </c>
      <c r="CY52">
        <f t="shared" si="6"/>
        <v>8023</v>
      </c>
      <c r="CZ52">
        <f t="shared" si="7"/>
        <v>8023</v>
      </c>
      <c r="DA52">
        <f t="shared" si="8"/>
        <v>1</v>
      </c>
      <c r="DB52">
        <v>0</v>
      </c>
    </row>
    <row r="53" spans="1:106" x14ac:dyDescent="0.2">
      <c r="A53">
        <f>ROW(Source!A36)</f>
        <v>36</v>
      </c>
      <c r="B53">
        <v>16481626</v>
      </c>
      <c r="C53">
        <v>16481738</v>
      </c>
      <c r="D53">
        <v>15164570</v>
      </c>
      <c r="E53">
        <v>17</v>
      </c>
      <c r="F53">
        <v>1</v>
      </c>
      <c r="G53">
        <v>1</v>
      </c>
      <c r="H53">
        <v>3</v>
      </c>
      <c r="I53" t="s">
        <v>59</v>
      </c>
      <c r="J53" t="s">
        <v>6</v>
      </c>
      <c r="K53" t="s">
        <v>60</v>
      </c>
      <c r="L53">
        <v>1348</v>
      </c>
      <c r="N53">
        <v>1009</v>
      </c>
      <c r="O53" t="s">
        <v>57</v>
      </c>
      <c r="P53" t="s">
        <v>57</v>
      </c>
      <c r="Q53">
        <v>1000</v>
      </c>
      <c r="W53">
        <v>0</v>
      </c>
      <c r="X53">
        <v>789990620</v>
      </c>
      <c r="Y53">
        <v>0.184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6</v>
      </c>
      <c r="AT53">
        <v>0.184</v>
      </c>
      <c r="AU53" t="s">
        <v>6</v>
      </c>
      <c r="AV53">
        <v>0</v>
      </c>
      <c r="AW53">
        <v>2</v>
      </c>
      <c r="AX53">
        <v>16481756</v>
      </c>
      <c r="AY53">
        <v>1</v>
      </c>
      <c r="AZ53">
        <v>0</v>
      </c>
      <c r="BA53">
        <v>50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Y53*Source!I36</f>
        <v>3.8087999999999997E-2</v>
      </c>
      <c r="CY53">
        <f t="shared" si="6"/>
        <v>0</v>
      </c>
      <c r="CZ53">
        <f t="shared" si="7"/>
        <v>0</v>
      </c>
      <c r="DA53">
        <f t="shared" si="8"/>
        <v>1</v>
      </c>
      <c r="DB53">
        <v>0</v>
      </c>
    </row>
    <row r="54" spans="1:106" x14ac:dyDescent="0.2">
      <c r="A54">
        <f>ROW(Source!A36)</f>
        <v>36</v>
      </c>
      <c r="B54">
        <v>16481626</v>
      </c>
      <c r="C54">
        <v>16481738</v>
      </c>
      <c r="D54">
        <v>15191399</v>
      </c>
      <c r="E54">
        <v>1</v>
      </c>
      <c r="F54">
        <v>1</v>
      </c>
      <c r="G54">
        <v>1</v>
      </c>
      <c r="H54">
        <v>3</v>
      </c>
      <c r="I54" t="s">
        <v>62</v>
      </c>
      <c r="J54" t="s">
        <v>64</v>
      </c>
      <c r="K54" t="s">
        <v>63</v>
      </c>
      <c r="L54">
        <v>1348</v>
      </c>
      <c r="N54">
        <v>1009</v>
      </c>
      <c r="O54" t="s">
        <v>57</v>
      </c>
      <c r="P54" t="s">
        <v>57</v>
      </c>
      <c r="Q54">
        <v>1000</v>
      </c>
      <c r="W54">
        <v>0</v>
      </c>
      <c r="X54">
        <v>-1666380182</v>
      </c>
      <c r="Y54">
        <v>0.18399799999999999</v>
      </c>
      <c r="AA54">
        <v>8715.1</v>
      </c>
      <c r="AB54">
        <v>0</v>
      </c>
      <c r="AC54">
        <v>0</v>
      </c>
      <c r="AD54">
        <v>0</v>
      </c>
      <c r="AE54">
        <v>8715.1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6</v>
      </c>
      <c r="AT54">
        <v>0.18399799999999999</v>
      </c>
      <c r="AU54" t="s">
        <v>6</v>
      </c>
      <c r="AV54">
        <v>0</v>
      </c>
      <c r="AW54">
        <v>1</v>
      </c>
      <c r="AX54">
        <v>-1</v>
      </c>
      <c r="AY54">
        <v>0</v>
      </c>
      <c r="AZ54">
        <v>0</v>
      </c>
      <c r="BA54" t="s">
        <v>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Y54*Source!I36</f>
        <v>3.8087586E-2</v>
      </c>
      <c r="CY54">
        <f t="shared" si="6"/>
        <v>8715.1</v>
      </c>
      <c r="CZ54">
        <f t="shared" si="7"/>
        <v>8715.1</v>
      </c>
      <c r="DA54">
        <f t="shared" si="8"/>
        <v>1</v>
      </c>
      <c r="DB54">
        <v>0</v>
      </c>
    </row>
    <row r="55" spans="1:106" x14ac:dyDescent="0.2">
      <c r="A55">
        <f>ROW(Source!A37)</f>
        <v>37</v>
      </c>
      <c r="B55">
        <v>16481627</v>
      </c>
      <c r="C55">
        <v>16481738</v>
      </c>
      <c r="D55">
        <v>15430767</v>
      </c>
      <c r="E55">
        <v>1</v>
      </c>
      <c r="F55">
        <v>1</v>
      </c>
      <c r="G55">
        <v>1</v>
      </c>
      <c r="H55">
        <v>1</v>
      </c>
      <c r="I55" t="s">
        <v>288</v>
      </c>
      <c r="J55" t="s">
        <v>6</v>
      </c>
      <c r="K55" t="s">
        <v>289</v>
      </c>
      <c r="L55">
        <v>1191</v>
      </c>
      <c r="N55">
        <v>1013</v>
      </c>
      <c r="O55" t="s">
        <v>254</v>
      </c>
      <c r="P55" t="s">
        <v>254</v>
      </c>
      <c r="Q55">
        <v>1</v>
      </c>
      <c r="W55">
        <v>0</v>
      </c>
      <c r="X55">
        <v>-400197608</v>
      </c>
      <c r="Y55">
        <v>41.41</v>
      </c>
      <c r="AA55">
        <v>0</v>
      </c>
      <c r="AB55">
        <v>0</v>
      </c>
      <c r="AC55">
        <v>0</v>
      </c>
      <c r="AD55">
        <v>51.09</v>
      </c>
      <c r="AE55">
        <v>0</v>
      </c>
      <c r="AF55">
        <v>0</v>
      </c>
      <c r="AG55">
        <v>0</v>
      </c>
      <c r="AH55">
        <v>8.5299999999999994</v>
      </c>
      <c r="AI55">
        <v>1</v>
      </c>
      <c r="AJ55">
        <v>1</v>
      </c>
      <c r="AK55">
        <v>1</v>
      </c>
      <c r="AL55">
        <v>5.99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41.41</v>
      </c>
      <c r="AU55" t="s">
        <v>6</v>
      </c>
      <c r="AV55">
        <v>1</v>
      </c>
      <c r="AW55">
        <v>2</v>
      </c>
      <c r="AX55">
        <v>16481749</v>
      </c>
      <c r="AY55">
        <v>1</v>
      </c>
      <c r="AZ55">
        <v>0</v>
      </c>
      <c r="BA55">
        <v>51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Y55*Source!I37</f>
        <v>8.5718699999999988</v>
      </c>
      <c r="CY55">
        <f>AD55</f>
        <v>51.09</v>
      </c>
      <c r="CZ55">
        <f>AH55</f>
        <v>8.5299999999999994</v>
      </c>
      <c r="DA55">
        <f>AL55</f>
        <v>5.99</v>
      </c>
      <c r="DB55">
        <v>0</v>
      </c>
    </row>
    <row r="56" spans="1:106" x14ac:dyDescent="0.2">
      <c r="A56">
        <f>ROW(Source!A37)</f>
        <v>37</v>
      </c>
      <c r="B56">
        <v>16481627</v>
      </c>
      <c r="C56">
        <v>16481738</v>
      </c>
      <c r="D56">
        <v>15430395</v>
      </c>
      <c r="E56">
        <v>1</v>
      </c>
      <c r="F56">
        <v>1</v>
      </c>
      <c r="G56">
        <v>1</v>
      </c>
      <c r="H56">
        <v>1</v>
      </c>
      <c r="I56" t="s">
        <v>255</v>
      </c>
      <c r="J56" t="s">
        <v>6</v>
      </c>
      <c r="K56" t="s">
        <v>256</v>
      </c>
      <c r="L56">
        <v>1191</v>
      </c>
      <c r="N56">
        <v>1013</v>
      </c>
      <c r="O56" t="s">
        <v>254</v>
      </c>
      <c r="P56" t="s">
        <v>254</v>
      </c>
      <c r="Q56">
        <v>1</v>
      </c>
      <c r="W56">
        <v>0</v>
      </c>
      <c r="X56">
        <v>-1417349443</v>
      </c>
      <c r="Y56">
        <v>0.12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5.99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0.12</v>
      </c>
      <c r="AU56" t="s">
        <v>6</v>
      </c>
      <c r="AV56">
        <v>2</v>
      </c>
      <c r="AW56">
        <v>2</v>
      </c>
      <c r="AX56">
        <v>16481750</v>
      </c>
      <c r="AY56">
        <v>1</v>
      </c>
      <c r="AZ56">
        <v>0</v>
      </c>
      <c r="BA56">
        <v>52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Y56*Source!I37</f>
        <v>2.4839999999999997E-2</v>
      </c>
      <c r="CY56">
        <f>AD56</f>
        <v>0</v>
      </c>
      <c r="CZ56">
        <f>AH56</f>
        <v>0</v>
      </c>
      <c r="DA56">
        <f>AL56</f>
        <v>1</v>
      </c>
      <c r="DB56">
        <v>0</v>
      </c>
    </row>
    <row r="57" spans="1:106" x14ac:dyDescent="0.2">
      <c r="A57">
        <f>ROW(Source!A37)</f>
        <v>37</v>
      </c>
      <c r="B57">
        <v>16481627</v>
      </c>
      <c r="C57">
        <v>16481738</v>
      </c>
      <c r="D57">
        <v>15247974</v>
      </c>
      <c r="E57">
        <v>1</v>
      </c>
      <c r="F57">
        <v>1</v>
      </c>
      <c r="G57">
        <v>1</v>
      </c>
      <c r="H57">
        <v>2</v>
      </c>
      <c r="I57" t="s">
        <v>257</v>
      </c>
      <c r="J57" t="s">
        <v>258</v>
      </c>
      <c r="K57" t="s">
        <v>259</v>
      </c>
      <c r="L57">
        <v>1368</v>
      </c>
      <c r="N57">
        <v>1011</v>
      </c>
      <c r="O57" t="s">
        <v>260</v>
      </c>
      <c r="P57" t="s">
        <v>260</v>
      </c>
      <c r="Q57">
        <v>1</v>
      </c>
      <c r="W57">
        <v>0</v>
      </c>
      <c r="X57">
        <v>1188625873</v>
      </c>
      <c r="Y57">
        <v>0.08</v>
      </c>
      <c r="AA57">
        <v>0</v>
      </c>
      <c r="AB57">
        <v>187.25</v>
      </c>
      <c r="AC57">
        <v>13.5</v>
      </c>
      <c r="AD57">
        <v>0</v>
      </c>
      <c r="AE57">
        <v>0</v>
      </c>
      <c r="AF57">
        <v>31.26</v>
      </c>
      <c r="AG57">
        <v>13.5</v>
      </c>
      <c r="AH57">
        <v>0</v>
      </c>
      <c r="AI57">
        <v>1</v>
      </c>
      <c r="AJ57">
        <v>5.99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0.08</v>
      </c>
      <c r="AU57" t="s">
        <v>6</v>
      </c>
      <c r="AV57">
        <v>0</v>
      </c>
      <c r="AW57">
        <v>2</v>
      </c>
      <c r="AX57">
        <v>16481751</v>
      </c>
      <c r="AY57">
        <v>1</v>
      </c>
      <c r="AZ57">
        <v>0</v>
      </c>
      <c r="BA57">
        <v>53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Y57*Source!I37</f>
        <v>1.6559999999999998E-2</v>
      </c>
      <c r="CY57">
        <f>AB57</f>
        <v>187.25</v>
      </c>
      <c r="CZ57">
        <f>AF57</f>
        <v>31.26</v>
      </c>
      <c r="DA57">
        <f>AJ57</f>
        <v>5.99</v>
      </c>
      <c r="DB57">
        <v>0</v>
      </c>
    </row>
    <row r="58" spans="1:106" x14ac:dyDescent="0.2">
      <c r="A58">
        <f>ROW(Source!A37)</f>
        <v>37</v>
      </c>
      <c r="B58">
        <v>16481627</v>
      </c>
      <c r="C58">
        <v>16481738</v>
      </c>
      <c r="D58">
        <v>15249073</v>
      </c>
      <c r="E58">
        <v>1</v>
      </c>
      <c r="F58">
        <v>1</v>
      </c>
      <c r="G58">
        <v>1</v>
      </c>
      <c r="H58">
        <v>2</v>
      </c>
      <c r="I58" t="s">
        <v>263</v>
      </c>
      <c r="J58" t="s">
        <v>264</v>
      </c>
      <c r="K58" t="s">
        <v>265</v>
      </c>
      <c r="L58">
        <v>1368</v>
      </c>
      <c r="N58">
        <v>1011</v>
      </c>
      <c r="O58" t="s">
        <v>260</v>
      </c>
      <c r="P58" t="s">
        <v>260</v>
      </c>
      <c r="Q58">
        <v>1</v>
      </c>
      <c r="W58">
        <v>0</v>
      </c>
      <c r="X58">
        <v>1372534845</v>
      </c>
      <c r="Y58">
        <v>0.04</v>
      </c>
      <c r="AA58">
        <v>0</v>
      </c>
      <c r="AB58">
        <v>393.6</v>
      </c>
      <c r="AC58">
        <v>11.6</v>
      </c>
      <c r="AD58">
        <v>0</v>
      </c>
      <c r="AE58">
        <v>0</v>
      </c>
      <c r="AF58">
        <v>65.709999999999994</v>
      </c>
      <c r="AG58">
        <v>11.6</v>
      </c>
      <c r="AH58">
        <v>0</v>
      </c>
      <c r="AI58">
        <v>1</v>
      </c>
      <c r="AJ58">
        <v>5.99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0.04</v>
      </c>
      <c r="AU58" t="s">
        <v>6</v>
      </c>
      <c r="AV58">
        <v>0</v>
      </c>
      <c r="AW58">
        <v>2</v>
      </c>
      <c r="AX58">
        <v>16481752</v>
      </c>
      <c r="AY58">
        <v>1</v>
      </c>
      <c r="AZ58">
        <v>0</v>
      </c>
      <c r="BA58">
        <v>54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Y58*Source!I37</f>
        <v>8.2799999999999992E-3</v>
      </c>
      <c r="CY58">
        <f>AB58</f>
        <v>393.6</v>
      </c>
      <c r="CZ58">
        <f>AF58</f>
        <v>65.709999999999994</v>
      </c>
      <c r="DA58">
        <f>AJ58</f>
        <v>5.99</v>
      </c>
      <c r="DB58">
        <v>0</v>
      </c>
    </row>
    <row r="59" spans="1:106" x14ac:dyDescent="0.2">
      <c r="A59">
        <f>ROW(Source!A37)</f>
        <v>37</v>
      </c>
      <c r="B59">
        <v>16481627</v>
      </c>
      <c r="C59">
        <v>16481738</v>
      </c>
      <c r="D59">
        <v>15164566</v>
      </c>
      <c r="E59">
        <v>17</v>
      </c>
      <c r="F59">
        <v>1</v>
      </c>
      <c r="G59">
        <v>1</v>
      </c>
      <c r="H59">
        <v>3</v>
      </c>
      <c r="I59" t="s">
        <v>55</v>
      </c>
      <c r="J59" t="s">
        <v>6</v>
      </c>
      <c r="K59" t="s">
        <v>56</v>
      </c>
      <c r="L59">
        <v>1348</v>
      </c>
      <c r="N59">
        <v>1009</v>
      </c>
      <c r="O59" t="s">
        <v>57</v>
      </c>
      <c r="P59" t="s">
        <v>57</v>
      </c>
      <c r="Q59">
        <v>1000</v>
      </c>
      <c r="W59">
        <v>0</v>
      </c>
      <c r="X59">
        <v>-179832266</v>
      </c>
      <c r="Y59">
        <v>0.224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5.99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6</v>
      </c>
      <c r="AT59">
        <v>0.224</v>
      </c>
      <c r="AU59" t="s">
        <v>6</v>
      </c>
      <c r="AV59">
        <v>0</v>
      </c>
      <c r="AW59">
        <v>2</v>
      </c>
      <c r="AX59">
        <v>16481753</v>
      </c>
      <c r="AY59">
        <v>1</v>
      </c>
      <c r="AZ59">
        <v>0</v>
      </c>
      <c r="BA59">
        <v>55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Y59*Source!I37</f>
        <v>4.6367999999999999E-2</v>
      </c>
      <c r="CY59">
        <f t="shared" ref="CY59:CY64" si="9">AA59</f>
        <v>0</v>
      </c>
      <c r="CZ59">
        <f t="shared" ref="CZ59:CZ64" si="10">AE59</f>
        <v>0</v>
      </c>
      <c r="DA59">
        <f t="shared" ref="DA59:DA64" si="11">AI59</f>
        <v>5.99</v>
      </c>
      <c r="DB59">
        <v>0</v>
      </c>
    </row>
    <row r="60" spans="1:106" x14ac:dyDescent="0.2">
      <c r="A60">
        <f>ROW(Source!A37)</f>
        <v>37</v>
      </c>
      <c r="B60">
        <v>16481627</v>
      </c>
      <c r="C60">
        <v>16481738</v>
      </c>
      <c r="D60">
        <v>15170039</v>
      </c>
      <c r="E60">
        <v>1</v>
      </c>
      <c r="F60">
        <v>1</v>
      </c>
      <c r="G60">
        <v>1</v>
      </c>
      <c r="H60">
        <v>3</v>
      </c>
      <c r="I60" t="s">
        <v>290</v>
      </c>
      <c r="J60" t="s">
        <v>291</v>
      </c>
      <c r="K60" t="s">
        <v>292</v>
      </c>
      <c r="L60">
        <v>1348</v>
      </c>
      <c r="N60">
        <v>1009</v>
      </c>
      <c r="O60" t="s">
        <v>57</v>
      </c>
      <c r="P60" t="s">
        <v>57</v>
      </c>
      <c r="Q60">
        <v>1000</v>
      </c>
      <c r="W60">
        <v>0</v>
      </c>
      <c r="X60">
        <v>1174701286</v>
      </c>
      <c r="Y60">
        <v>4.0000000000000001E-3</v>
      </c>
      <c r="AA60">
        <v>71748.22</v>
      </c>
      <c r="AB60">
        <v>0</v>
      </c>
      <c r="AC60">
        <v>0</v>
      </c>
      <c r="AD60">
        <v>0</v>
      </c>
      <c r="AE60">
        <v>11978</v>
      </c>
      <c r="AF60">
        <v>0</v>
      </c>
      <c r="AG60">
        <v>0</v>
      </c>
      <c r="AH60">
        <v>0</v>
      </c>
      <c r="AI60">
        <v>5.99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4.0000000000000001E-3</v>
      </c>
      <c r="AU60" t="s">
        <v>6</v>
      </c>
      <c r="AV60">
        <v>0</v>
      </c>
      <c r="AW60">
        <v>2</v>
      </c>
      <c r="AX60">
        <v>16481754</v>
      </c>
      <c r="AY60">
        <v>1</v>
      </c>
      <c r="AZ60">
        <v>0</v>
      </c>
      <c r="BA60">
        <v>56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Y60*Source!I37</f>
        <v>8.2799999999999996E-4</v>
      </c>
      <c r="CY60">
        <f t="shared" si="9"/>
        <v>71748.22</v>
      </c>
      <c r="CZ60">
        <f t="shared" si="10"/>
        <v>11978</v>
      </c>
      <c r="DA60">
        <f t="shared" si="11"/>
        <v>5.99</v>
      </c>
      <c r="DB60">
        <v>0</v>
      </c>
    </row>
    <row r="61" spans="1:106" x14ac:dyDescent="0.2">
      <c r="A61">
        <f>ROW(Source!A37)</f>
        <v>37</v>
      </c>
      <c r="B61">
        <v>16481627</v>
      </c>
      <c r="C61">
        <v>16481738</v>
      </c>
      <c r="D61">
        <v>15189640</v>
      </c>
      <c r="E61">
        <v>1</v>
      </c>
      <c r="F61">
        <v>1</v>
      </c>
      <c r="G61">
        <v>1</v>
      </c>
      <c r="H61">
        <v>3</v>
      </c>
      <c r="I61" t="s">
        <v>66</v>
      </c>
      <c r="J61" t="s">
        <v>69</v>
      </c>
      <c r="K61" t="s">
        <v>67</v>
      </c>
      <c r="L61">
        <v>2233</v>
      </c>
      <c r="N61">
        <v>1013</v>
      </c>
      <c r="O61" t="s">
        <v>68</v>
      </c>
      <c r="P61" t="s">
        <v>68</v>
      </c>
      <c r="Q61">
        <v>1</v>
      </c>
      <c r="W61">
        <v>0</v>
      </c>
      <c r="X61">
        <v>977476121</v>
      </c>
      <c r="Y61">
        <v>100</v>
      </c>
      <c r="AA61">
        <v>158.19999999999999</v>
      </c>
      <c r="AB61">
        <v>0</v>
      </c>
      <c r="AC61">
        <v>0</v>
      </c>
      <c r="AD61">
        <v>0</v>
      </c>
      <c r="AE61">
        <v>26.41</v>
      </c>
      <c r="AF61">
        <v>0</v>
      </c>
      <c r="AG61">
        <v>0</v>
      </c>
      <c r="AH61">
        <v>0</v>
      </c>
      <c r="AI61">
        <v>5.99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6</v>
      </c>
      <c r="AT61">
        <v>100</v>
      </c>
      <c r="AU61" t="s">
        <v>6</v>
      </c>
      <c r="AV61">
        <v>0</v>
      </c>
      <c r="AW61">
        <v>1</v>
      </c>
      <c r="AX61">
        <v>-1</v>
      </c>
      <c r="AY61">
        <v>0</v>
      </c>
      <c r="AZ61">
        <v>0</v>
      </c>
      <c r="BA61" t="s">
        <v>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Y61*Source!I37</f>
        <v>20.7</v>
      </c>
      <c r="CY61">
        <f t="shared" si="9"/>
        <v>158.19999999999999</v>
      </c>
      <c r="CZ61">
        <f t="shared" si="10"/>
        <v>26.41</v>
      </c>
      <c r="DA61">
        <f t="shared" si="11"/>
        <v>5.99</v>
      </c>
      <c r="DB61">
        <v>0</v>
      </c>
    </row>
    <row r="62" spans="1:106" x14ac:dyDescent="0.2">
      <c r="A62">
        <f>ROW(Source!A37)</f>
        <v>37</v>
      </c>
      <c r="B62">
        <v>16481627</v>
      </c>
      <c r="C62">
        <v>16481738</v>
      </c>
      <c r="D62">
        <v>15191139</v>
      </c>
      <c r="E62">
        <v>1</v>
      </c>
      <c r="F62">
        <v>1</v>
      </c>
      <c r="G62">
        <v>1</v>
      </c>
      <c r="H62">
        <v>3</v>
      </c>
      <c r="I62" t="s">
        <v>293</v>
      </c>
      <c r="J62" t="s">
        <v>294</v>
      </c>
      <c r="K62" t="s">
        <v>295</v>
      </c>
      <c r="L62">
        <v>1348</v>
      </c>
      <c r="N62">
        <v>1009</v>
      </c>
      <c r="O62" t="s">
        <v>57</v>
      </c>
      <c r="P62" t="s">
        <v>57</v>
      </c>
      <c r="Q62">
        <v>1000</v>
      </c>
      <c r="W62">
        <v>0</v>
      </c>
      <c r="X62">
        <v>-740471490</v>
      </c>
      <c r="Y62">
        <v>6.0000000000000001E-3</v>
      </c>
      <c r="AA62">
        <v>48057.77</v>
      </c>
      <c r="AB62">
        <v>0</v>
      </c>
      <c r="AC62">
        <v>0</v>
      </c>
      <c r="AD62">
        <v>0</v>
      </c>
      <c r="AE62">
        <v>8023</v>
      </c>
      <c r="AF62">
        <v>0</v>
      </c>
      <c r="AG62">
        <v>0</v>
      </c>
      <c r="AH62">
        <v>0</v>
      </c>
      <c r="AI62">
        <v>5.99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6</v>
      </c>
      <c r="AT62">
        <v>6.0000000000000001E-3</v>
      </c>
      <c r="AU62" t="s">
        <v>6</v>
      </c>
      <c r="AV62">
        <v>0</v>
      </c>
      <c r="AW62">
        <v>2</v>
      </c>
      <c r="AX62">
        <v>16481755</v>
      </c>
      <c r="AY62">
        <v>1</v>
      </c>
      <c r="AZ62">
        <v>0</v>
      </c>
      <c r="BA62">
        <v>57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Y62*Source!I37</f>
        <v>1.242E-3</v>
      </c>
      <c r="CY62">
        <f t="shared" si="9"/>
        <v>48057.77</v>
      </c>
      <c r="CZ62">
        <f t="shared" si="10"/>
        <v>8023</v>
      </c>
      <c r="DA62">
        <f t="shared" si="11"/>
        <v>5.99</v>
      </c>
      <c r="DB62">
        <v>0</v>
      </c>
    </row>
    <row r="63" spans="1:106" x14ac:dyDescent="0.2">
      <c r="A63">
        <f>ROW(Source!A37)</f>
        <v>37</v>
      </c>
      <c r="B63">
        <v>16481627</v>
      </c>
      <c r="C63">
        <v>16481738</v>
      </c>
      <c r="D63">
        <v>15164570</v>
      </c>
      <c r="E63">
        <v>17</v>
      </c>
      <c r="F63">
        <v>1</v>
      </c>
      <c r="G63">
        <v>1</v>
      </c>
      <c r="H63">
        <v>3</v>
      </c>
      <c r="I63" t="s">
        <v>59</v>
      </c>
      <c r="J63" t="s">
        <v>6</v>
      </c>
      <c r="K63" t="s">
        <v>60</v>
      </c>
      <c r="L63">
        <v>1348</v>
      </c>
      <c r="N63">
        <v>1009</v>
      </c>
      <c r="O63" t="s">
        <v>57</v>
      </c>
      <c r="P63" t="s">
        <v>57</v>
      </c>
      <c r="Q63">
        <v>1000</v>
      </c>
      <c r="W63">
        <v>0</v>
      </c>
      <c r="X63">
        <v>789990620</v>
      </c>
      <c r="Y63">
        <v>0.184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5.99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6</v>
      </c>
      <c r="AT63">
        <v>0.184</v>
      </c>
      <c r="AU63" t="s">
        <v>6</v>
      </c>
      <c r="AV63">
        <v>0</v>
      </c>
      <c r="AW63">
        <v>2</v>
      </c>
      <c r="AX63">
        <v>16481756</v>
      </c>
      <c r="AY63">
        <v>1</v>
      </c>
      <c r="AZ63">
        <v>0</v>
      </c>
      <c r="BA63">
        <v>58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Y63*Source!I37</f>
        <v>3.8087999999999997E-2</v>
      </c>
      <c r="CY63">
        <f t="shared" si="9"/>
        <v>0</v>
      </c>
      <c r="CZ63">
        <f t="shared" si="10"/>
        <v>0</v>
      </c>
      <c r="DA63">
        <f t="shared" si="11"/>
        <v>5.99</v>
      </c>
      <c r="DB63">
        <v>0</v>
      </c>
    </row>
    <row r="64" spans="1:106" x14ac:dyDescent="0.2">
      <c r="A64">
        <f>ROW(Source!A37)</f>
        <v>37</v>
      </c>
      <c r="B64">
        <v>16481627</v>
      </c>
      <c r="C64">
        <v>16481738</v>
      </c>
      <c r="D64">
        <v>15191399</v>
      </c>
      <c r="E64">
        <v>1</v>
      </c>
      <c r="F64">
        <v>1</v>
      </c>
      <c r="G64">
        <v>1</v>
      </c>
      <c r="H64">
        <v>3</v>
      </c>
      <c r="I64" t="s">
        <v>62</v>
      </c>
      <c r="J64" t="s">
        <v>64</v>
      </c>
      <c r="K64" t="s">
        <v>63</v>
      </c>
      <c r="L64">
        <v>1348</v>
      </c>
      <c r="N64">
        <v>1009</v>
      </c>
      <c r="O64" t="s">
        <v>57</v>
      </c>
      <c r="P64" t="s">
        <v>57</v>
      </c>
      <c r="Q64">
        <v>1000</v>
      </c>
      <c r="W64">
        <v>0</v>
      </c>
      <c r="X64">
        <v>-1666380182</v>
      </c>
      <c r="Y64">
        <v>0.18399799999999999</v>
      </c>
      <c r="AA64">
        <v>52203.45</v>
      </c>
      <c r="AB64">
        <v>0</v>
      </c>
      <c r="AC64">
        <v>0</v>
      </c>
      <c r="AD64">
        <v>0</v>
      </c>
      <c r="AE64">
        <v>8715.1</v>
      </c>
      <c r="AF64">
        <v>0</v>
      </c>
      <c r="AG64">
        <v>0</v>
      </c>
      <c r="AH64">
        <v>0</v>
      </c>
      <c r="AI64">
        <v>5.99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6</v>
      </c>
      <c r="AT64">
        <v>0.18399799999999999</v>
      </c>
      <c r="AU64" t="s">
        <v>6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Y64*Source!I37</f>
        <v>3.8087586E-2</v>
      </c>
      <c r="CY64">
        <f t="shared" si="9"/>
        <v>52203.45</v>
      </c>
      <c r="CZ64">
        <f t="shared" si="10"/>
        <v>8715.1</v>
      </c>
      <c r="DA64">
        <f t="shared" si="11"/>
        <v>5.99</v>
      </c>
      <c r="DB64">
        <v>0</v>
      </c>
    </row>
    <row r="65" spans="1:106" x14ac:dyDescent="0.2">
      <c r="A65">
        <f>ROW(Source!A46)</f>
        <v>46</v>
      </c>
      <c r="B65">
        <v>16481626</v>
      </c>
      <c r="C65">
        <v>16481787</v>
      </c>
      <c r="D65">
        <v>15430497</v>
      </c>
      <c r="E65">
        <v>1</v>
      </c>
      <c r="F65">
        <v>1</v>
      </c>
      <c r="G65">
        <v>1</v>
      </c>
      <c r="H65">
        <v>1</v>
      </c>
      <c r="I65" t="s">
        <v>296</v>
      </c>
      <c r="J65" t="s">
        <v>6</v>
      </c>
      <c r="K65" t="s">
        <v>297</v>
      </c>
      <c r="L65">
        <v>1191</v>
      </c>
      <c r="N65">
        <v>1013</v>
      </c>
      <c r="O65" t="s">
        <v>254</v>
      </c>
      <c r="P65" t="s">
        <v>254</v>
      </c>
      <c r="Q65">
        <v>1</v>
      </c>
      <c r="W65">
        <v>0</v>
      </c>
      <c r="X65">
        <v>-719309759</v>
      </c>
      <c r="Y65">
        <v>228.35</v>
      </c>
      <c r="AA65">
        <v>0</v>
      </c>
      <c r="AB65">
        <v>0</v>
      </c>
      <c r="AC65">
        <v>0</v>
      </c>
      <c r="AD65">
        <v>8.86</v>
      </c>
      <c r="AE65">
        <v>0</v>
      </c>
      <c r="AF65">
        <v>0</v>
      </c>
      <c r="AG65">
        <v>0</v>
      </c>
      <c r="AH65">
        <v>8.86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228.35</v>
      </c>
      <c r="AU65" t="s">
        <v>6</v>
      </c>
      <c r="AV65">
        <v>1</v>
      </c>
      <c r="AW65">
        <v>2</v>
      </c>
      <c r="AX65">
        <v>16481794</v>
      </c>
      <c r="AY65">
        <v>1</v>
      </c>
      <c r="AZ65">
        <v>0</v>
      </c>
      <c r="BA65">
        <v>59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60.010379999999991</v>
      </c>
      <c r="CY65">
        <f>AD65</f>
        <v>8.86</v>
      </c>
      <c r="CZ65">
        <f>AH65</f>
        <v>8.86</v>
      </c>
      <c r="DA65">
        <f>AL65</f>
        <v>1</v>
      </c>
      <c r="DB65">
        <v>0</v>
      </c>
    </row>
    <row r="66" spans="1:106" x14ac:dyDescent="0.2">
      <c r="A66">
        <f>ROW(Source!A46)</f>
        <v>46</v>
      </c>
      <c r="B66">
        <v>16481626</v>
      </c>
      <c r="C66">
        <v>16481787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255</v>
      </c>
      <c r="J66" t="s">
        <v>6</v>
      </c>
      <c r="K66" t="s">
        <v>256</v>
      </c>
      <c r="L66">
        <v>1191</v>
      </c>
      <c r="N66">
        <v>1013</v>
      </c>
      <c r="O66" t="s">
        <v>254</v>
      </c>
      <c r="P66" t="s">
        <v>254</v>
      </c>
      <c r="Q66">
        <v>1</v>
      </c>
      <c r="W66">
        <v>0</v>
      </c>
      <c r="X66">
        <v>-1417349443</v>
      </c>
      <c r="Y66">
        <v>0.67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0.67</v>
      </c>
      <c r="AU66" t="s">
        <v>6</v>
      </c>
      <c r="AV66">
        <v>2</v>
      </c>
      <c r="AW66">
        <v>2</v>
      </c>
      <c r="AX66">
        <v>16481795</v>
      </c>
      <c r="AY66">
        <v>1</v>
      </c>
      <c r="AZ66">
        <v>0</v>
      </c>
      <c r="BA66">
        <v>60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Y66*Source!I46</f>
        <v>0.17607599999999998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ROW(Source!A46)</f>
        <v>46</v>
      </c>
      <c r="B67">
        <v>16481626</v>
      </c>
      <c r="C67">
        <v>16481787</v>
      </c>
      <c r="D67">
        <v>15247974</v>
      </c>
      <c r="E67">
        <v>1</v>
      </c>
      <c r="F67">
        <v>1</v>
      </c>
      <c r="G67">
        <v>1</v>
      </c>
      <c r="H67">
        <v>2</v>
      </c>
      <c r="I67" t="s">
        <v>257</v>
      </c>
      <c r="J67" t="s">
        <v>258</v>
      </c>
      <c r="K67" t="s">
        <v>259</v>
      </c>
      <c r="L67">
        <v>1368</v>
      </c>
      <c r="N67">
        <v>1011</v>
      </c>
      <c r="O67" t="s">
        <v>260</v>
      </c>
      <c r="P67" t="s">
        <v>260</v>
      </c>
      <c r="Q67">
        <v>1</v>
      </c>
      <c r="W67">
        <v>0</v>
      </c>
      <c r="X67">
        <v>1188625873</v>
      </c>
      <c r="Y67">
        <v>0.67</v>
      </c>
      <c r="AA67">
        <v>0</v>
      </c>
      <c r="AB67">
        <v>31.26</v>
      </c>
      <c r="AC67">
        <v>13.5</v>
      </c>
      <c r="AD67">
        <v>0</v>
      </c>
      <c r="AE67">
        <v>0</v>
      </c>
      <c r="AF67">
        <v>31.26</v>
      </c>
      <c r="AG67">
        <v>13.5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0.67</v>
      </c>
      <c r="AU67" t="s">
        <v>6</v>
      </c>
      <c r="AV67">
        <v>0</v>
      </c>
      <c r="AW67">
        <v>2</v>
      </c>
      <c r="AX67">
        <v>16481796</v>
      </c>
      <c r="AY67">
        <v>1</v>
      </c>
      <c r="AZ67">
        <v>0</v>
      </c>
      <c r="BA67">
        <v>61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Y67*Source!I46</f>
        <v>0.17607599999999998</v>
      </c>
      <c r="CY67">
        <f>AB67</f>
        <v>31.26</v>
      </c>
      <c r="CZ67">
        <f>AF67</f>
        <v>31.26</v>
      </c>
      <c r="DA67">
        <f>AJ67</f>
        <v>1</v>
      </c>
      <c r="DB67">
        <v>0</v>
      </c>
    </row>
    <row r="68" spans="1:106" x14ac:dyDescent="0.2">
      <c r="A68">
        <f>ROW(Source!A46)</f>
        <v>46</v>
      </c>
      <c r="B68">
        <v>16481626</v>
      </c>
      <c r="C68">
        <v>16481787</v>
      </c>
      <c r="D68">
        <v>15167286</v>
      </c>
      <c r="E68">
        <v>1</v>
      </c>
      <c r="F68">
        <v>1</v>
      </c>
      <c r="G68">
        <v>1</v>
      </c>
      <c r="H68">
        <v>3</v>
      </c>
      <c r="I68" t="s">
        <v>298</v>
      </c>
      <c r="J68" t="s">
        <v>299</v>
      </c>
      <c r="K68" t="s">
        <v>300</v>
      </c>
      <c r="L68">
        <v>1339</v>
      </c>
      <c r="N68">
        <v>1007</v>
      </c>
      <c r="O68" t="s">
        <v>301</v>
      </c>
      <c r="P68" t="s">
        <v>301</v>
      </c>
      <c r="Q68">
        <v>1</v>
      </c>
      <c r="W68">
        <v>0</v>
      </c>
      <c r="X68">
        <v>-1660354250</v>
      </c>
      <c r="Y68">
        <v>0.35</v>
      </c>
      <c r="AA68">
        <v>2.44</v>
      </c>
      <c r="AB68">
        <v>0</v>
      </c>
      <c r="AC68">
        <v>0</v>
      </c>
      <c r="AD68">
        <v>0</v>
      </c>
      <c r="AE68">
        <v>2.44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0.35</v>
      </c>
      <c r="AU68" t="s">
        <v>6</v>
      </c>
      <c r="AV68">
        <v>0</v>
      </c>
      <c r="AW68">
        <v>2</v>
      </c>
      <c r="AX68">
        <v>16481797</v>
      </c>
      <c r="AY68">
        <v>1</v>
      </c>
      <c r="AZ68">
        <v>0</v>
      </c>
      <c r="BA68">
        <v>62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Y68*Source!I46</f>
        <v>9.1979999999999992E-2</v>
      </c>
      <c r="CY68">
        <f>AA68</f>
        <v>2.44</v>
      </c>
      <c r="CZ68">
        <f>AE68</f>
        <v>2.44</v>
      </c>
      <c r="DA68">
        <f>AI68</f>
        <v>1</v>
      </c>
      <c r="DB68">
        <v>0</v>
      </c>
    </row>
    <row r="69" spans="1:106" x14ac:dyDescent="0.2">
      <c r="A69">
        <f>ROW(Source!A46)</f>
        <v>46</v>
      </c>
      <c r="B69">
        <v>16481626</v>
      </c>
      <c r="C69">
        <v>16481787</v>
      </c>
      <c r="D69">
        <v>15164566</v>
      </c>
      <c r="E69">
        <v>17</v>
      </c>
      <c r="F69">
        <v>1</v>
      </c>
      <c r="G69">
        <v>1</v>
      </c>
      <c r="H69">
        <v>3</v>
      </c>
      <c r="I69" t="s">
        <v>55</v>
      </c>
      <c r="J69" t="s">
        <v>6</v>
      </c>
      <c r="K69" t="s">
        <v>56</v>
      </c>
      <c r="L69">
        <v>1348</v>
      </c>
      <c r="N69">
        <v>1009</v>
      </c>
      <c r="O69" t="s">
        <v>57</v>
      </c>
      <c r="P69" t="s">
        <v>57</v>
      </c>
      <c r="Q69">
        <v>1000</v>
      </c>
      <c r="W69">
        <v>0</v>
      </c>
      <c r="X69">
        <v>-179832266</v>
      </c>
      <c r="Y69">
        <v>3.38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6</v>
      </c>
      <c r="AT69">
        <v>3.38</v>
      </c>
      <c r="AU69" t="s">
        <v>6</v>
      </c>
      <c r="AV69">
        <v>0</v>
      </c>
      <c r="AW69">
        <v>2</v>
      </c>
      <c r="AX69">
        <v>16481798</v>
      </c>
      <c r="AY69">
        <v>1</v>
      </c>
      <c r="AZ69">
        <v>0</v>
      </c>
      <c r="BA69">
        <v>63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Y69*Source!I46</f>
        <v>0.88826399999999994</v>
      </c>
      <c r="CY69">
        <f>AA69</f>
        <v>0</v>
      </c>
      <c r="CZ69">
        <f>AE69</f>
        <v>0</v>
      </c>
      <c r="DA69">
        <f>AI69</f>
        <v>1</v>
      </c>
      <c r="DB69">
        <v>0</v>
      </c>
    </row>
    <row r="70" spans="1:106" x14ac:dyDescent="0.2">
      <c r="A70">
        <f>ROW(Source!A46)</f>
        <v>46</v>
      </c>
      <c r="B70">
        <v>16481626</v>
      </c>
      <c r="C70">
        <v>16481787</v>
      </c>
      <c r="D70">
        <v>15172875</v>
      </c>
      <c r="E70">
        <v>1</v>
      </c>
      <c r="F70">
        <v>1</v>
      </c>
      <c r="G70">
        <v>1</v>
      </c>
      <c r="H70">
        <v>3</v>
      </c>
      <c r="I70" t="s">
        <v>302</v>
      </c>
      <c r="J70" t="s">
        <v>303</v>
      </c>
      <c r="K70" t="s">
        <v>304</v>
      </c>
      <c r="L70">
        <v>1339</v>
      </c>
      <c r="N70">
        <v>1007</v>
      </c>
      <c r="O70" t="s">
        <v>301</v>
      </c>
      <c r="P70" t="s">
        <v>301</v>
      </c>
      <c r="Q70">
        <v>1</v>
      </c>
      <c r="W70">
        <v>0</v>
      </c>
      <c r="X70">
        <v>-1001479081</v>
      </c>
      <c r="Y70">
        <v>2.2000000000000002</v>
      </c>
      <c r="AA70">
        <v>517.91</v>
      </c>
      <c r="AB70">
        <v>0</v>
      </c>
      <c r="AC70">
        <v>0</v>
      </c>
      <c r="AD70">
        <v>0</v>
      </c>
      <c r="AE70">
        <v>517.91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2.2000000000000002</v>
      </c>
      <c r="AU70" t="s">
        <v>6</v>
      </c>
      <c r="AV70">
        <v>0</v>
      </c>
      <c r="AW70">
        <v>2</v>
      </c>
      <c r="AX70">
        <v>16481799</v>
      </c>
      <c r="AY70">
        <v>1</v>
      </c>
      <c r="AZ70">
        <v>0</v>
      </c>
      <c r="BA70">
        <v>64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Y70*Source!I46</f>
        <v>0.57816000000000001</v>
      </c>
      <c r="CY70">
        <f>AA70</f>
        <v>517.91</v>
      </c>
      <c r="CZ70">
        <f>AE70</f>
        <v>517.91</v>
      </c>
      <c r="DA70">
        <f>AI70</f>
        <v>1</v>
      </c>
      <c r="DB70">
        <v>0</v>
      </c>
    </row>
    <row r="71" spans="1:106" x14ac:dyDescent="0.2">
      <c r="A71">
        <f>ROW(Source!A47)</f>
        <v>47</v>
      </c>
      <c r="B71">
        <v>16481627</v>
      </c>
      <c r="C71">
        <v>16481787</v>
      </c>
      <c r="D71">
        <v>15430497</v>
      </c>
      <c r="E71">
        <v>1</v>
      </c>
      <c r="F71">
        <v>1</v>
      </c>
      <c r="G71">
        <v>1</v>
      </c>
      <c r="H71">
        <v>1</v>
      </c>
      <c r="I71" t="s">
        <v>296</v>
      </c>
      <c r="J71" t="s">
        <v>6</v>
      </c>
      <c r="K71" t="s">
        <v>297</v>
      </c>
      <c r="L71">
        <v>1191</v>
      </c>
      <c r="N71">
        <v>1013</v>
      </c>
      <c r="O71" t="s">
        <v>254</v>
      </c>
      <c r="P71" t="s">
        <v>254</v>
      </c>
      <c r="Q71">
        <v>1</v>
      </c>
      <c r="W71">
        <v>0</v>
      </c>
      <c r="X71">
        <v>-719309759</v>
      </c>
      <c r="Y71">
        <v>228.35</v>
      </c>
      <c r="AA71">
        <v>0</v>
      </c>
      <c r="AB71">
        <v>0</v>
      </c>
      <c r="AC71">
        <v>0</v>
      </c>
      <c r="AD71">
        <v>53.07</v>
      </c>
      <c r="AE71">
        <v>0</v>
      </c>
      <c r="AF71">
        <v>0</v>
      </c>
      <c r="AG71">
        <v>0</v>
      </c>
      <c r="AH71">
        <v>8.86</v>
      </c>
      <c r="AI71">
        <v>1</v>
      </c>
      <c r="AJ71">
        <v>1</v>
      </c>
      <c r="AK71">
        <v>1</v>
      </c>
      <c r="AL71">
        <v>5.99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228.35</v>
      </c>
      <c r="AU71" t="s">
        <v>6</v>
      </c>
      <c r="AV71">
        <v>1</v>
      </c>
      <c r="AW71">
        <v>2</v>
      </c>
      <c r="AX71">
        <v>16481794</v>
      </c>
      <c r="AY71">
        <v>1</v>
      </c>
      <c r="AZ71">
        <v>0</v>
      </c>
      <c r="BA71">
        <v>65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Y71*Source!I47</f>
        <v>60.010379999999991</v>
      </c>
      <c r="CY71">
        <f>AD71</f>
        <v>53.07</v>
      </c>
      <c r="CZ71">
        <f>AH71</f>
        <v>8.86</v>
      </c>
      <c r="DA71">
        <f>AL71</f>
        <v>5.99</v>
      </c>
      <c r="DB71">
        <v>0</v>
      </c>
    </row>
    <row r="72" spans="1:106" x14ac:dyDescent="0.2">
      <c r="A72">
        <f>ROW(Source!A47)</f>
        <v>47</v>
      </c>
      <c r="B72">
        <v>16481627</v>
      </c>
      <c r="C72">
        <v>16481787</v>
      </c>
      <c r="D72">
        <v>15430395</v>
      </c>
      <c r="E72">
        <v>1</v>
      </c>
      <c r="F72">
        <v>1</v>
      </c>
      <c r="G72">
        <v>1</v>
      </c>
      <c r="H72">
        <v>1</v>
      </c>
      <c r="I72" t="s">
        <v>255</v>
      </c>
      <c r="J72" t="s">
        <v>6</v>
      </c>
      <c r="K72" t="s">
        <v>256</v>
      </c>
      <c r="L72">
        <v>1191</v>
      </c>
      <c r="N72">
        <v>1013</v>
      </c>
      <c r="O72" t="s">
        <v>254</v>
      </c>
      <c r="P72" t="s">
        <v>254</v>
      </c>
      <c r="Q72">
        <v>1</v>
      </c>
      <c r="W72">
        <v>0</v>
      </c>
      <c r="X72">
        <v>-1417349443</v>
      </c>
      <c r="Y72">
        <v>0.67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5.99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0.67</v>
      </c>
      <c r="AU72" t="s">
        <v>6</v>
      </c>
      <c r="AV72">
        <v>2</v>
      </c>
      <c r="AW72">
        <v>2</v>
      </c>
      <c r="AX72">
        <v>16481795</v>
      </c>
      <c r="AY72">
        <v>1</v>
      </c>
      <c r="AZ72">
        <v>0</v>
      </c>
      <c r="BA72">
        <v>66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Y72*Source!I47</f>
        <v>0.17607599999999998</v>
      </c>
      <c r="CY72">
        <f>AD72</f>
        <v>0</v>
      </c>
      <c r="CZ72">
        <f>AH72</f>
        <v>0</v>
      </c>
      <c r="DA72">
        <f>AL72</f>
        <v>1</v>
      </c>
      <c r="DB72">
        <v>0</v>
      </c>
    </row>
    <row r="73" spans="1:106" x14ac:dyDescent="0.2">
      <c r="A73">
        <f>ROW(Source!A47)</f>
        <v>47</v>
      </c>
      <c r="B73">
        <v>16481627</v>
      </c>
      <c r="C73">
        <v>16481787</v>
      </c>
      <c r="D73">
        <v>15247974</v>
      </c>
      <c r="E73">
        <v>1</v>
      </c>
      <c r="F73">
        <v>1</v>
      </c>
      <c r="G73">
        <v>1</v>
      </c>
      <c r="H73">
        <v>2</v>
      </c>
      <c r="I73" t="s">
        <v>257</v>
      </c>
      <c r="J73" t="s">
        <v>258</v>
      </c>
      <c r="K73" t="s">
        <v>259</v>
      </c>
      <c r="L73">
        <v>1368</v>
      </c>
      <c r="N73">
        <v>1011</v>
      </c>
      <c r="O73" t="s">
        <v>260</v>
      </c>
      <c r="P73" t="s">
        <v>260</v>
      </c>
      <c r="Q73">
        <v>1</v>
      </c>
      <c r="W73">
        <v>0</v>
      </c>
      <c r="X73">
        <v>1188625873</v>
      </c>
      <c r="Y73">
        <v>0.67</v>
      </c>
      <c r="AA73">
        <v>0</v>
      </c>
      <c r="AB73">
        <v>187.25</v>
      </c>
      <c r="AC73">
        <v>13.5</v>
      </c>
      <c r="AD73">
        <v>0</v>
      </c>
      <c r="AE73">
        <v>0</v>
      </c>
      <c r="AF73">
        <v>31.26</v>
      </c>
      <c r="AG73">
        <v>13.5</v>
      </c>
      <c r="AH73">
        <v>0</v>
      </c>
      <c r="AI73">
        <v>1</v>
      </c>
      <c r="AJ73">
        <v>5.99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0.67</v>
      </c>
      <c r="AU73" t="s">
        <v>6</v>
      </c>
      <c r="AV73">
        <v>0</v>
      </c>
      <c r="AW73">
        <v>2</v>
      </c>
      <c r="AX73">
        <v>16481796</v>
      </c>
      <c r="AY73">
        <v>1</v>
      </c>
      <c r="AZ73">
        <v>0</v>
      </c>
      <c r="BA73">
        <v>67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Y73*Source!I47</f>
        <v>0.17607599999999998</v>
      </c>
      <c r="CY73">
        <f>AB73</f>
        <v>187.25</v>
      </c>
      <c r="CZ73">
        <f>AF73</f>
        <v>31.26</v>
      </c>
      <c r="DA73">
        <f>AJ73</f>
        <v>5.99</v>
      </c>
      <c r="DB73">
        <v>0</v>
      </c>
    </row>
    <row r="74" spans="1:106" x14ac:dyDescent="0.2">
      <c r="A74">
        <f>ROW(Source!A47)</f>
        <v>47</v>
      </c>
      <c r="B74">
        <v>16481627</v>
      </c>
      <c r="C74">
        <v>16481787</v>
      </c>
      <c r="D74">
        <v>15167286</v>
      </c>
      <c r="E74">
        <v>1</v>
      </c>
      <c r="F74">
        <v>1</v>
      </c>
      <c r="G74">
        <v>1</v>
      </c>
      <c r="H74">
        <v>3</v>
      </c>
      <c r="I74" t="s">
        <v>298</v>
      </c>
      <c r="J74" t="s">
        <v>299</v>
      </c>
      <c r="K74" t="s">
        <v>300</v>
      </c>
      <c r="L74">
        <v>1339</v>
      </c>
      <c r="N74">
        <v>1007</v>
      </c>
      <c r="O74" t="s">
        <v>301</v>
      </c>
      <c r="P74" t="s">
        <v>301</v>
      </c>
      <c r="Q74">
        <v>1</v>
      </c>
      <c r="W74">
        <v>0</v>
      </c>
      <c r="X74">
        <v>-1660354250</v>
      </c>
      <c r="Y74">
        <v>0.35</v>
      </c>
      <c r="AA74">
        <v>14.62</v>
      </c>
      <c r="AB74">
        <v>0</v>
      </c>
      <c r="AC74">
        <v>0</v>
      </c>
      <c r="AD74">
        <v>0</v>
      </c>
      <c r="AE74">
        <v>2.44</v>
      </c>
      <c r="AF74">
        <v>0</v>
      </c>
      <c r="AG74">
        <v>0</v>
      </c>
      <c r="AH74">
        <v>0</v>
      </c>
      <c r="AI74">
        <v>5.99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0.35</v>
      </c>
      <c r="AU74" t="s">
        <v>6</v>
      </c>
      <c r="AV74">
        <v>0</v>
      </c>
      <c r="AW74">
        <v>2</v>
      </c>
      <c r="AX74">
        <v>16481797</v>
      </c>
      <c r="AY74">
        <v>1</v>
      </c>
      <c r="AZ74">
        <v>0</v>
      </c>
      <c r="BA74">
        <v>68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Y74*Source!I47</f>
        <v>9.1979999999999992E-2</v>
      </c>
      <c r="CY74">
        <f>AA74</f>
        <v>14.62</v>
      </c>
      <c r="CZ74">
        <f>AE74</f>
        <v>2.44</v>
      </c>
      <c r="DA74">
        <f>AI74</f>
        <v>5.99</v>
      </c>
      <c r="DB74">
        <v>0</v>
      </c>
    </row>
    <row r="75" spans="1:106" x14ac:dyDescent="0.2">
      <c r="A75">
        <f>ROW(Source!A47)</f>
        <v>47</v>
      </c>
      <c r="B75">
        <v>16481627</v>
      </c>
      <c r="C75">
        <v>16481787</v>
      </c>
      <c r="D75">
        <v>15164566</v>
      </c>
      <c r="E75">
        <v>17</v>
      </c>
      <c r="F75">
        <v>1</v>
      </c>
      <c r="G75">
        <v>1</v>
      </c>
      <c r="H75">
        <v>3</v>
      </c>
      <c r="I75" t="s">
        <v>55</v>
      </c>
      <c r="J75" t="s">
        <v>6</v>
      </c>
      <c r="K75" t="s">
        <v>56</v>
      </c>
      <c r="L75">
        <v>1348</v>
      </c>
      <c r="N75">
        <v>1009</v>
      </c>
      <c r="O75" t="s">
        <v>57</v>
      </c>
      <c r="P75" t="s">
        <v>57</v>
      </c>
      <c r="Q75">
        <v>1000</v>
      </c>
      <c r="W75">
        <v>0</v>
      </c>
      <c r="X75">
        <v>-179832266</v>
      </c>
      <c r="Y75">
        <v>3.38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5.99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6</v>
      </c>
      <c r="AT75">
        <v>3.38</v>
      </c>
      <c r="AU75" t="s">
        <v>6</v>
      </c>
      <c r="AV75">
        <v>0</v>
      </c>
      <c r="AW75">
        <v>2</v>
      </c>
      <c r="AX75">
        <v>16481798</v>
      </c>
      <c r="AY75">
        <v>1</v>
      </c>
      <c r="AZ75">
        <v>0</v>
      </c>
      <c r="BA75">
        <v>69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Y75*Source!I47</f>
        <v>0.88826399999999994</v>
      </c>
      <c r="CY75">
        <f>AA75</f>
        <v>0</v>
      </c>
      <c r="CZ75">
        <f>AE75</f>
        <v>0</v>
      </c>
      <c r="DA75">
        <f>AI75</f>
        <v>5.99</v>
      </c>
      <c r="DB75">
        <v>0</v>
      </c>
    </row>
    <row r="76" spans="1:106" x14ac:dyDescent="0.2">
      <c r="A76">
        <f>ROW(Source!A47)</f>
        <v>47</v>
      </c>
      <c r="B76">
        <v>16481627</v>
      </c>
      <c r="C76">
        <v>16481787</v>
      </c>
      <c r="D76">
        <v>15172875</v>
      </c>
      <c r="E76">
        <v>1</v>
      </c>
      <c r="F76">
        <v>1</v>
      </c>
      <c r="G76">
        <v>1</v>
      </c>
      <c r="H76">
        <v>3</v>
      </c>
      <c r="I76" t="s">
        <v>302</v>
      </c>
      <c r="J76" t="s">
        <v>303</v>
      </c>
      <c r="K76" t="s">
        <v>304</v>
      </c>
      <c r="L76">
        <v>1339</v>
      </c>
      <c r="N76">
        <v>1007</v>
      </c>
      <c r="O76" t="s">
        <v>301</v>
      </c>
      <c r="P76" t="s">
        <v>301</v>
      </c>
      <c r="Q76">
        <v>1</v>
      </c>
      <c r="W76">
        <v>0</v>
      </c>
      <c r="X76">
        <v>-1001479081</v>
      </c>
      <c r="Y76">
        <v>2.2000000000000002</v>
      </c>
      <c r="AA76">
        <v>3102.28</v>
      </c>
      <c r="AB76">
        <v>0</v>
      </c>
      <c r="AC76">
        <v>0</v>
      </c>
      <c r="AD76">
        <v>0</v>
      </c>
      <c r="AE76">
        <v>517.91</v>
      </c>
      <c r="AF76">
        <v>0</v>
      </c>
      <c r="AG76">
        <v>0</v>
      </c>
      <c r="AH76">
        <v>0</v>
      </c>
      <c r="AI76">
        <v>5.99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2.2000000000000002</v>
      </c>
      <c r="AU76" t="s">
        <v>6</v>
      </c>
      <c r="AV76">
        <v>0</v>
      </c>
      <c r="AW76">
        <v>2</v>
      </c>
      <c r="AX76">
        <v>16481799</v>
      </c>
      <c r="AY76">
        <v>1</v>
      </c>
      <c r="AZ76">
        <v>0</v>
      </c>
      <c r="BA76">
        <v>70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Y76*Source!I47</f>
        <v>0.57816000000000001</v>
      </c>
      <c r="CY76">
        <f>AA76</f>
        <v>3102.28</v>
      </c>
      <c r="CZ76">
        <f>AE76</f>
        <v>517.91</v>
      </c>
      <c r="DA76">
        <f>AI76</f>
        <v>5.99</v>
      </c>
      <c r="DB76">
        <v>0</v>
      </c>
    </row>
    <row r="77" spans="1:106" x14ac:dyDescent="0.2">
      <c r="A77">
        <f>ROW(Source!A50)</f>
        <v>50</v>
      </c>
      <c r="B77">
        <v>16481626</v>
      </c>
      <c r="C77">
        <v>16481801</v>
      </c>
      <c r="D77">
        <v>15435099</v>
      </c>
      <c r="E77">
        <v>1</v>
      </c>
      <c r="F77">
        <v>1</v>
      </c>
      <c r="G77">
        <v>1</v>
      </c>
      <c r="H77">
        <v>1</v>
      </c>
      <c r="I77" t="s">
        <v>305</v>
      </c>
      <c r="J77" t="s">
        <v>6</v>
      </c>
      <c r="K77" t="s">
        <v>306</v>
      </c>
      <c r="L77">
        <v>1191</v>
      </c>
      <c r="N77">
        <v>1013</v>
      </c>
      <c r="O77" t="s">
        <v>254</v>
      </c>
      <c r="P77" t="s">
        <v>254</v>
      </c>
      <c r="Q77">
        <v>1</v>
      </c>
      <c r="W77">
        <v>0</v>
      </c>
      <c r="X77">
        <v>1010519658</v>
      </c>
      <c r="Y77">
        <v>29.6</v>
      </c>
      <c r="AA77">
        <v>0</v>
      </c>
      <c r="AB77">
        <v>0</v>
      </c>
      <c r="AC77">
        <v>0</v>
      </c>
      <c r="AD77">
        <v>8.64</v>
      </c>
      <c r="AE77">
        <v>0</v>
      </c>
      <c r="AF77">
        <v>0</v>
      </c>
      <c r="AG77">
        <v>0</v>
      </c>
      <c r="AH77">
        <v>8.64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29.6</v>
      </c>
      <c r="AU77" t="s">
        <v>6</v>
      </c>
      <c r="AV77">
        <v>1</v>
      </c>
      <c r="AW77">
        <v>2</v>
      </c>
      <c r="AX77">
        <v>16481815</v>
      </c>
      <c r="AY77">
        <v>1</v>
      </c>
      <c r="AZ77">
        <v>0</v>
      </c>
      <c r="BA77">
        <v>71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Y77*Source!I50</f>
        <v>7.77888</v>
      </c>
      <c r="CY77">
        <f>AD77</f>
        <v>8.64</v>
      </c>
      <c r="CZ77">
        <f>AH77</f>
        <v>8.64</v>
      </c>
      <c r="DA77">
        <f>AL77</f>
        <v>1</v>
      </c>
      <c r="DB77">
        <v>0</v>
      </c>
    </row>
    <row r="78" spans="1:106" x14ac:dyDescent="0.2">
      <c r="A78">
        <f>ROW(Source!A50)</f>
        <v>50</v>
      </c>
      <c r="B78">
        <v>16481626</v>
      </c>
      <c r="C78">
        <v>16481801</v>
      </c>
      <c r="D78">
        <v>15430395</v>
      </c>
      <c r="E78">
        <v>1</v>
      </c>
      <c r="F78">
        <v>1</v>
      </c>
      <c r="G78">
        <v>1</v>
      </c>
      <c r="H78">
        <v>1</v>
      </c>
      <c r="I78" t="s">
        <v>255</v>
      </c>
      <c r="J78" t="s">
        <v>6</v>
      </c>
      <c r="K78" t="s">
        <v>256</v>
      </c>
      <c r="L78">
        <v>1191</v>
      </c>
      <c r="N78">
        <v>1013</v>
      </c>
      <c r="O78" t="s">
        <v>254</v>
      </c>
      <c r="P78" t="s">
        <v>254</v>
      </c>
      <c r="Q78">
        <v>1</v>
      </c>
      <c r="W78">
        <v>0</v>
      </c>
      <c r="X78">
        <v>-1417349443</v>
      </c>
      <c r="Y78">
        <v>0.16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0.16</v>
      </c>
      <c r="AU78" t="s">
        <v>6</v>
      </c>
      <c r="AV78">
        <v>2</v>
      </c>
      <c r="AW78">
        <v>2</v>
      </c>
      <c r="AX78">
        <v>16481816</v>
      </c>
      <c r="AY78">
        <v>1</v>
      </c>
      <c r="AZ78">
        <v>0</v>
      </c>
      <c r="BA78">
        <v>72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Y78*Source!I50</f>
        <v>4.2047999999999995E-2</v>
      </c>
      <c r="CY78">
        <f>AD78</f>
        <v>0</v>
      </c>
      <c r="CZ78">
        <f>AH78</f>
        <v>0</v>
      </c>
      <c r="DA78">
        <f>AL78</f>
        <v>1</v>
      </c>
      <c r="DB78">
        <v>0</v>
      </c>
    </row>
    <row r="79" spans="1:106" x14ac:dyDescent="0.2">
      <c r="A79">
        <f>ROW(Source!A50)</f>
        <v>50</v>
      </c>
      <c r="B79">
        <v>16481626</v>
      </c>
      <c r="C79">
        <v>16481801</v>
      </c>
      <c r="D79">
        <v>15247974</v>
      </c>
      <c r="E79">
        <v>1</v>
      </c>
      <c r="F79">
        <v>1</v>
      </c>
      <c r="G79">
        <v>1</v>
      </c>
      <c r="H79">
        <v>2</v>
      </c>
      <c r="I79" t="s">
        <v>257</v>
      </c>
      <c r="J79" t="s">
        <v>258</v>
      </c>
      <c r="K79" t="s">
        <v>259</v>
      </c>
      <c r="L79">
        <v>1368</v>
      </c>
      <c r="N79">
        <v>1011</v>
      </c>
      <c r="O79" t="s">
        <v>260</v>
      </c>
      <c r="P79" t="s">
        <v>260</v>
      </c>
      <c r="Q79">
        <v>1</v>
      </c>
      <c r="W79">
        <v>0</v>
      </c>
      <c r="X79">
        <v>1188625873</v>
      </c>
      <c r="Y79">
        <v>0.1</v>
      </c>
      <c r="AA79">
        <v>0</v>
      </c>
      <c r="AB79">
        <v>31.26</v>
      </c>
      <c r="AC79">
        <v>13.5</v>
      </c>
      <c r="AD79">
        <v>0</v>
      </c>
      <c r="AE79">
        <v>0</v>
      </c>
      <c r="AF79">
        <v>31.26</v>
      </c>
      <c r="AG79">
        <v>13.5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0.1</v>
      </c>
      <c r="AU79" t="s">
        <v>6</v>
      </c>
      <c r="AV79">
        <v>0</v>
      </c>
      <c r="AW79">
        <v>2</v>
      </c>
      <c r="AX79">
        <v>16481817</v>
      </c>
      <c r="AY79">
        <v>1</v>
      </c>
      <c r="AZ79">
        <v>0</v>
      </c>
      <c r="BA79">
        <v>73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Y79*Source!I50</f>
        <v>2.6279999999999998E-2</v>
      </c>
      <c r="CY79">
        <f>AB79</f>
        <v>31.26</v>
      </c>
      <c r="CZ79">
        <f>AF79</f>
        <v>31.26</v>
      </c>
      <c r="DA79">
        <f>AJ79</f>
        <v>1</v>
      </c>
      <c r="DB79">
        <v>0</v>
      </c>
    </row>
    <row r="80" spans="1:106" x14ac:dyDescent="0.2">
      <c r="A80">
        <f>ROW(Source!A50)</f>
        <v>50</v>
      </c>
      <c r="B80">
        <v>16481626</v>
      </c>
      <c r="C80">
        <v>16481801</v>
      </c>
      <c r="D80">
        <v>15249073</v>
      </c>
      <c r="E80">
        <v>1</v>
      </c>
      <c r="F80">
        <v>1</v>
      </c>
      <c r="G80">
        <v>1</v>
      </c>
      <c r="H80">
        <v>2</v>
      </c>
      <c r="I80" t="s">
        <v>263</v>
      </c>
      <c r="J80" t="s">
        <v>264</v>
      </c>
      <c r="K80" t="s">
        <v>265</v>
      </c>
      <c r="L80">
        <v>1368</v>
      </c>
      <c r="N80">
        <v>1011</v>
      </c>
      <c r="O80" t="s">
        <v>260</v>
      </c>
      <c r="P80" t="s">
        <v>260</v>
      </c>
      <c r="Q80">
        <v>1</v>
      </c>
      <c r="W80">
        <v>0</v>
      </c>
      <c r="X80">
        <v>1372534845</v>
      </c>
      <c r="Y80">
        <v>0.06</v>
      </c>
      <c r="AA80">
        <v>0</v>
      </c>
      <c r="AB80">
        <v>65.709999999999994</v>
      </c>
      <c r="AC80">
        <v>11.6</v>
      </c>
      <c r="AD80">
        <v>0</v>
      </c>
      <c r="AE80">
        <v>0</v>
      </c>
      <c r="AF80">
        <v>65.709999999999994</v>
      </c>
      <c r="AG80">
        <v>11.6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0.06</v>
      </c>
      <c r="AU80" t="s">
        <v>6</v>
      </c>
      <c r="AV80">
        <v>0</v>
      </c>
      <c r="AW80">
        <v>2</v>
      </c>
      <c r="AX80">
        <v>16481818</v>
      </c>
      <c r="AY80">
        <v>1</v>
      </c>
      <c r="AZ80">
        <v>0</v>
      </c>
      <c r="BA80">
        <v>74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Y80*Source!I50</f>
        <v>1.5767999999999997E-2</v>
      </c>
      <c r="CY80">
        <f>AB80</f>
        <v>65.709999999999994</v>
      </c>
      <c r="CZ80">
        <f>AF80</f>
        <v>65.709999999999994</v>
      </c>
      <c r="DA80">
        <f>AJ80</f>
        <v>1</v>
      </c>
      <c r="DB80">
        <v>0</v>
      </c>
    </row>
    <row r="81" spans="1:106" x14ac:dyDescent="0.2">
      <c r="A81">
        <f>ROW(Source!A50)</f>
        <v>50</v>
      </c>
      <c r="B81">
        <v>16481626</v>
      </c>
      <c r="C81">
        <v>16481801</v>
      </c>
      <c r="D81">
        <v>15167286</v>
      </c>
      <c r="E81">
        <v>1</v>
      </c>
      <c r="F81">
        <v>1</v>
      </c>
      <c r="G81">
        <v>1</v>
      </c>
      <c r="H81">
        <v>3</v>
      </c>
      <c r="I81" t="s">
        <v>298</v>
      </c>
      <c r="J81" t="s">
        <v>299</v>
      </c>
      <c r="K81" t="s">
        <v>300</v>
      </c>
      <c r="L81">
        <v>1339</v>
      </c>
      <c r="N81">
        <v>1007</v>
      </c>
      <c r="O81" t="s">
        <v>301</v>
      </c>
      <c r="P81" t="s">
        <v>301</v>
      </c>
      <c r="Q81">
        <v>1</v>
      </c>
      <c r="W81">
        <v>0</v>
      </c>
      <c r="X81">
        <v>-1660354250</v>
      </c>
      <c r="Y81">
        <v>0.24</v>
      </c>
      <c r="AA81">
        <v>2.44</v>
      </c>
      <c r="AB81">
        <v>0</v>
      </c>
      <c r="AC81">
        <v>0</v>
      </c>
      <c r="AD81">
        <v>0</v>
      </c>
      <c r="AE81">
        <v>2.44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0.24</v>
      </c>
      <c r="AU81" t="s">
        <v>6</v>
      </c>
      <c r="AV81">
        <v>0</v>
      </c>
      <c r="AW81">
        <v>2</v>
      </c>
      <c r="AX81">
        <v>16481819</v>
      </c>
      <c r="AY81">
        <v>1</v>
      </c>
      <c r="AZ81">
        <v>0</v>
      </c>
      <c r="BA81">
        <v>75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Y81*Source!I50</f>
        <v>6.3071999999999989E-2</v>
      </c>
      <c r="CY81">
        <f t="shared" ref="CY81:CY89" si="12">AA81</f>
        <v>2.44</v>
      </c>
      <c r="CZ81">
        <f t="shared" ref="CZ81:CZ89" si="13">AE81</f>
        <v>2.44</v>
      </c>
      <c r="DA81">
        <f t="shared" ref="DA81:DA89" si="14">AI81</f>
        <v>1</v>
      </c>
      <c r="DB81">
        <v>0</v>
      </c>
    </row>
    <row r="82" spans="1:106" x14ac:dyDescent="0.2">
      <c r="A82">
        <f>ROW(Source!A50)</f>
        <v>50</v>
      </c>
      <c r="B82">
        <v>16481626</v>
      </c>
      <c r="C82">
        <v>16481801</v>
      </c>
      <c r="D82">
        <v>15167766</v>
      </c>
      <c r="E82">
        <v>1</v>
      </c>
      <c r="F82">
        <v>1</v>
      </c>
      <c r="G82">
        <v>1</v>
      </c>
      <c r="H82">
        <v>3</v>
      </c>
      <c r="I82" t="s">
        <v>307</v>
      </c>
      <c r="J82" t="s">
        <v>308</v>
      </c>
      <c r="K82" t="s">
        <v>309</v>
      </c>
      <c r="L82">
        <v>1354</v>
      </c>
      <c r="N82">
        <v>1010</v>
      </c>
      <c r="O82" t="s">
        <v>287</v>
      </c>
      <c r="P82" t="s">
        <v>287</v>
      </c>
      <c r="Q82">
        <v>1</v>
      </c>
      <c r="W82">
        <v>0</v>
      </c>
      <c r="X82">
        <v>-1046673864</v>
      </c>
      <c r="Y82">
        <v>5.0999999999999996</v>
      </c>
      <c r="AA82">
        <v>4.5</v>
      </c>
      <c r="AB82">
        <v>0</v>
      </c>
      <c r="AC82">
        <v>0</v>
      </c>
      <c r="AD82">
        <v>0</v>
      </c>
      <c r="AE82">
        <v>4.5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5.0999999999999996</v>
      </c>
      <c r="AU82" t="s">
        <v>6</v>
      </c>
      <c r="AV82">
        <v>0</v>
      </c>
      <c r="AW82">
        <v>2</v>
      </c>
      <c r="AX82">
        <v>16481820</v>
      </c>
      <c r="AY82">
        <v>1</v>
      </c>
      <c r="AZ82">
        <v>0</v>
      </c>
      <c r="BA82">
        <v>76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Y82*Source!I50</f>
        <v>1.3402799999999997</v>
      </c>
      <c r="CY82">
        <f t="shared" si="12"/>
        <v>4.5</v>
      </c>
      <c r="CZ82">
        <f t="shared" si="13"/>
        <v>4.5</v>
      </c>
      <c r="DA82">
        <f t="shared" si="14"/>
        <v>1</v>
      </c>
      <c r="DB82">
        <v>0</v>
      </c>
    </row>
    <row r="83" spans="1:106" x14ac:dyDescent="0.2">
      <c r="A83">
        <f>ROW(Source!A50)</f>
        <v>50</v>
      </c>
      <c r="B83">
        <v>16481626</v>
      </c>
      <c r="C83">
        <v>16481801</v>
      </c>
      <c r="D83">
        <v>15168015</v>
      </c>
      <c r="E83">
        <v>1</v>
      </c>
      <c r="F83">
        <v>1</v>
      </c>
      <c r="G83">
        <v>1</v>
      </c>
      <c r="H83">
        <v>3</v>
      </c>
      <c r="I83" t="s">
        <v>310</v>
      </c>
      <c r="J83" t="s">
        <v>311</v>
      </c>
      <c r="K83" t="s">
        <v>312</v>
      </c>
      <c r="L83">
        <v>1348</v>
      </c>
      <c r="N83">
        <v>1009</v>
      </c>
      <c r="O83" t="s">
        <v>57</v>
      </c>
      <c r="P83" t="s">
        <v>57</v>
      </c>
      <c r="Q83">
        <v>1000</v>
      </c>
      <c r="W83">
        <v>0</v>
      </c>
      <c r="X83">
        <v>-526970962</v>
      </c>
      <c r="Y83">
        <v>2.5499999999999998E-2</v>
      </c>
      <c r="AA83">
        <v>586.47</v>
      </c>
      <c r="AB83">
        <v>0</v>
      </c>
      <c r="AC83">
        <v>0</v>
      </c>
      <c r="AD83">
        <v>0</v>
      </c>
      <c r="AE83">
        <v>586.47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2.5499999999999998E-2</v>
      </c>
      <c r="AU83" t="s">
        <v>6</v>
      </c>
      <c r="AV83">
        <v>0</v>
      </c>
      <c r="AW83">
        <v>2</v>
      </c>
      <c r="AX83">
        <v>16481821</v>
      </c>
      <c r="AY83">
        <v>1</v>
      </c>
      <c r="AZ83">
        <v>0</v>
      </c>
      <c r="BA83">
        <v>77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Y83*Source!I50</f>
        <v>6.7013999999999989E-3</v>
      </c>
      <c r="CY83">
        <f t="shared" si="12"/>
        <v>586.47</v>
      </c>
      <c r="CZ83">
        <f t="shared" si="13"/>
        <v>586.47</v>
      </c>
      <c r="DA83">
        <f t="shared" si="14"/>
        <v>1</v>
      </c>
      <c r="DB83">
        <v>0</v>
      </c>
    </row>
    <row r="84" spans="1:106" x14ac:dyDescent="0.2">
      <c r="A84">
        <f>ROW(Source!A50)</f>
        <v>50</v>
      </c>
      <c r="B84">
        <v>16481626</v>
      </c>
      <c r="C84">
        <v>16481801</v>
      </c>
      <c r="D84">
        <v>15170682</v>
      </c>
      <c r="E84">
        <v>1</v>
      </c>
      <c r="F84">
        <v>1</v>
      </c>
      <c r="G84">
        <v>1</v>
      </c>
      <c r="H84">
        <v>3</v>
      </c>
      <c r="I84" t="s">
        <v>313</v>
      </c>
      <c r="J84" t="s">
        <v>314</v>
      </c>
      <c r="K84" t="s">
        <v>315</v>
      </c>
      <c r="L84">
        <v>1327</v>
      </c>
      <c r="N84">
        <v>1005</v>
      </c>
      <c r="O84" t="s">
        <v>32</v>
      </c>
      <c r="P84" t="s">
        <v>32</v>
      </c>
      <c r="Q84">
        <v>1</v>
      </c>
      <c r="W84">
        <v>0</v>
      </c>
      <c r="X84">
        <v>-1987926685</v>
      </c>
      <c r="Y84">
        <v>1.6</v>
      </c>
      <c r="AA84">
        <v>72.319999999999993</v>
      </c>
      <c r="AB84">
        <v>0</v>
      </c>
      <c r="AC84">
        <v>0</v>
      </c>
      <c r="AD84">
        <v>0</v>
      </c>
      <c r="AE84">
        <v>72.319999999999993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6</v>
      </c>
      <c r="AT84">
        <v>1.6</v>
      </c>
      <c r="AU84" t="s">
        <v>6</v>
      </c>
      <c r="AV84">
        <v>0</v>
      </c>
      <c r="AW84">
        <v>2</v>
      </c>
      <c r="AX84">
        <v>16481822</v>
      </c>
      <c r="AY84">
        <v>1</v>
      </c>
      <c r="AZ84">
        <v>0</v>
      </c>
      <c r="BA84">
        <v>78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Y84*Source!I50</f>
        <v>0.42047999999999996</v>
      </c>
      <c r="CY84">
        <f t="shared" si="12"/>
        <v>72.319999999999993</v>
      </c>
      <c r="CZ84">
        <f t="shared" si="13"/>
        <v>72.319999999999993</v>
      </c>
      <c r="DA84">
        <f t="shared" si="14"/>
        <v>1</v>
      </c>
      <c r="DB84">
        <v>0</v>
      </c>
    </row>
    <row r="85" spans="1:106" x14ac:dyDescent="0.2">
      <c r="A85">
        <f>ROW(Source!A50)</f>
        <v>50</v>
      </c>
      <c r="B85">
        <v>16481626</v>
      </c>
      <c r="C85">
        <v>16481801</v>
      </c>
      <c r="D85">
        <v>15171907</v>
      </c>
      <c r="E85">
        <v>1</v>
      </c>
      <c r="F85">
        <v>1</v>
      </c>
      <c r="G85">
        <v>1</v>
      </c>
      <c r="H85">
        <v>3</v>
      </c>
      <c r="I85" t="s">
        <v>316</v>
      </c>
      <c r="J85" t="s">
        <v>317</v>
      </c>
      <c r="K85" t="s">
        <v>318</v>
      </c>
      <c r="L85">
        <v>1339</v>
      </c>
      <c r="N85">
        <v>1007</v>
      </c>
      <c r="O85" t="s">
        <v>301</v>
      </c>
      <c r="P85" t="s">
        <v>301</v>
      </c>
      <c r="Q85">
        <v>1</v>
      </c>
      <c r="W85">
        <v>0</v>
      </c>
      <c r="X85">
        <v>1795918813</v>
      </c>
      <c r="Y85">
        <v>4.4000000000000003E-3</v>
      </c>
      <c r="AA85">
        <v>74.58</v>
      </c>
      <c r="AB85">
        <v>0</v>
      </c>
      <c r="AC85">
        <v>0</v>
      </c>
      <c r="AD85">
        <v>0</v>
      </c>
      <c r="AE85">
        <v>74.58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4.4000000000000003E-3</v>
      </c>
      <c r="AU85" t="s">
        <v>6</v>
      </c>
      <c r="AV85">
        <v>0</v>
      </c>
      <c r="AW85">
        <v>2</v>
      </c>
      <c r="AX85">
        <v>16481823</v>
      </c>
      <c r="AY85">
        <v>1</v>
      </c>
      <c r="AZ85">
        <v>0</v>
      </c>
      <c r="BA85">
        <v>79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Y85*Source!I50</f>
        <v>1.15632E-3</v>
      </c>
      <c r="CY85">
        <f t="shared" si="12"/>
        <v>74.58</v>
      </c>
      <c r="CZ85">
        <f t="shared" si="13"/>
        <v>74.58</v>
      </c>
      <c r="DA85">
        <f t="shared" si="14"/>
        <v>1</v>
      </c>
      <c r="DB85">
        <v>0</v>
      </c>
    </row>
    <row r="86" spans="1:106" x14ac:dyDescent="0.2">
      <c r="A86">
        <f>ROW(Source!A50)</f>
        <v>50</v>
      </c>
      <c r="B86">
        <v>16481626</v>
      </c>
      <c r="C86">
        <v>16481801</v>
      </c>
      <c r="D86">
        <v>15202490</v>
      </c>
      <c r="E86">
        <v>1</v>
      </c>
      <c r="F86">
        <v>1</v>
      </c>
      <c r="G86">
        <v>1</v>
      </c>
      <c r="H86">
        <v>3</v>
      </c>
      <c r="I86" t="s">
        <v>319</v>
      </c>
      <c r="J86" t="s">
        <v>320</v>
      </c>
      <c r="K86" t="s">
        <v>321</v>
      </c>
      <c r="L86">
        <v>1346</v>
      </c>
      <c r="N86">
        <v>1009</v>
      </c>
      <c r="O86" t="s">
        <v>322</v>
      </c>
      <c r="P86" t="s">
        <v>322</v>
      </c>
      <c r="Q86">
        <v>1</v>
      </c>
      <c r="W86">
        <v>0</v>
      </c>
      <c r="X86">
        <v>-1684093315</v>
      </c>
      <c r="Y86">
        <v>4.0199999999999996</v>
      </c>
      <c r="AA86">
        <v>8.09</v>
      </c>
      <c r="AB86">
        <v>0</v>
      </c>
      <c r="AC86">
        <v>0</v>
      </c>
      <c r="AD86">
        <v>0</v>
      </c>
      <c r="AE86">
        <v>8.09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4.0199999999999996</v>
      </c>
      <c r="AU86" t="s">
        <v>6</v>
      </c>
      <c r="AV86">
        <v>0</v>
      </c>
      <c r="AW86">
        <v>2</v>
      </c>
      <c r="AX86">
        <v>16481824</v>
      </c>
      <c r="AY86">
        <v>1</v>
      </c>
      <c r="AZ86">
        <v>0</v>
      </c>
      <c r="BA86">
        <v>80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Y86*Source!I50</f>
        <v>1.0564559999999998</v>
      </c>
      <c r="CY86">
        <f t="shared" si="12"/>
        <v>8.09</v>
      </c>
      <c r="CZ86">
        <f t="shared" si="13"/>
        <v>8.09</v>
      </c>
      <c r="DA86">
        <f t="shared" si="14"/>
        <v>1</v>
      </c>
      <c r="DB86">
        <v>0</v>
      </c>
    </row>
    <row r="87" spans="1:106" x14ac:dyDescent="0.2">
      <c r="A87">
        <f>ROW(Source!A50)</f>
        <v>50</v>
      </c>
      <c r="B87">
        <v>16481626</v>
      </c>
      <c r="C87">
        <v>16481801</v>
      </c>
      <c r="D87">
        <v>15163054</v>
      </c>
      <c r="E87">
        <v>17</v>
      </c>
      <c r="F87">
        <v>1</v>
      </c>
      <c r="G87">
        <v>1</v>
      </c>
      <c r="H87">
        <v>3</v>
      </c>
      <c r="I87" t="s">
        <v>84</v>
      </c>
      <c r="J87" t="s">
        <v>6</v>
      </c>
      <c r="K87" t="s">
        <v>85</v>
      </c>
      <c r="L87">
        <v>1348</v>
      </c>
      <c r="N87">
        <v>1009</v>
      </c>
      <c r="O87" t="s">
        <v>57</v>
      </c>
      <c r="P87" t="s">
        <v>57</v>
      </c>
      <c r="Q87">
        <v>1000</v>
      </c>
      <c r="W87">
        <v>0</v>
      </c>
      <c r="X87">
        <v>1891904026</v>
      </c>
      <c r="Y87">
        <v>7.0999999999999994E-2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6</v>
      </c>
      <c r="AT87">
        <v>7.0999999999999994E-2</v>
      </c>
      <c r="AU87" t="s">
        <v>6</v>
      </c>
      <c r="AV87">
        <v>0</v>
      </c>
      <c r="AW87">
        <v>2</v>
      </c>
      <c r="AX87">
        <v>16481825</v>
      </c>
      <c r="AY87">
        <v>1</v>
      </c>
      <c r="AZ87">
        <v>0</v>
      </c>
      <c r="BA87">
        <v>81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Y87*Source!I50</f>
        <v>1.8658799999999996E-2</v>
      </c>
      <c r="CY87">
        <f t="shared" si="12"/>
        <v>0</v>
      </c>
      <c r="CZ87">
        <f t="shared" si="13"/>
        <v>0</v>
      </c>
      <c r="DA87">
        <f t="shared" si="14"/>
        <v>1</v>
      </c>
      <c r="DB87">
        <v>0</v>
      </c>
    </row>
    <row r="88" spans="1:106" x14ac:dyDescent="0.2">
      <c r="A88">
        <f>ROW(Source!A50)</f>
        <v>50</v>
      </c>
      <c r="B88">
        <v>16481626</v>
      </c>
      <c r="C88">
        <v>16481801</v>
      </c>
      <c r="D88">
        <v>15203308</v>
      </c>
      <c r="E88">
        <v>1</v>
      </c>
      <c r="F88">
        <v>1</v>
      </c>
      <c r="G88">
        <v>1</v>
      </c>
      <c r="H88">
        <v>3</v>
      </c>
      <c r="I88" t="s">
        <v>87</v>
      </c>
      <c r="J88" t="s">
        <v>89</v>
      </c>
      <c r="K88" t="s">
        <v>88</v>
      </c>
      <c r="L88">
        <v>1348</v>
      </c>
      <c r="N88">
        <v>1009</v>
      </c>
      <c r="O88" t="s">
        <v>57</v>
      </c>
      <c r="P88" t="s">
        <v>57</v>
      </c>
      <c r="Q88">
        <v>1000</v>
      </c>
      <c r="W88">
        <v>0</v>
      </c>
      <c r="X88">
        <v>772632804</v>
      </c>
      <c r="Y88">
        <v>7.1002999999999997E-2</v>
      </c>
      <c r="AA88">
        <v>19973.669999999998</v>
      </c>
      <c r="AB88">
        <v>0</v>
      </c>
      <c r="AC88">
        <v>0</v>
      </c>
      <c r="AD88">
        <v>0</v>
      </c>
      <c r="AE88">
        <v>19973.669999999998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6</v>
      </c>
      <c r="AT88">
        <v>7.1002999999999997E-2</v>
      </c>
      <c r="AU88" t="s">
        <v>6</v>
      </c>
      <c r="AV88">
        <v>0</v>
      </c>
      <c r="AW88">
        <v>1</v>
      </c>
      <c r="AX88">
        <v>-1</v>
      </c>
      <c r="AY88">
        <v>0</v>
      </c>
      <c r="AZ88">
        <v>0</v>
      </c>
      <c r="BA88" t="s">
        <v>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Y88*Source!I50</f>
        <v>1.8659588399999996E-2</v>
      </c>
      <c r="CY88">
        <f t="shared" si="12"/>
        <v>19973.669999999998</v>
      </c>
      <c r="CZ88">
        <f t="shared" si="13"/>
        <v>19973.669999999998</v>
      </c>
      <c r="DA88">
        <f t="shared" si="14"/>
        <v>1</v>
      </c>
      <c r="DB88">
        <v>0</v>
      </c>
    </row>
    <row r="89" spans="1:106" x14ac:dyDescent="0.2">
      <c r="A89">
        <f>ROW(Source!A50)</f>
        <v>50</v>
      </c>
      <c r="B89">
        <v>16481626</v>
      </c>
      <c r="C89">
        <v>16481801</v>
      </c>
      <c r="D89">
        <v>15204729</v>
      </c>
      <c r="E89">
        <v>1</v>
      </c>
      <c r="F89">
        <v>1</v>
      </c>
      <c r="G89">
        <v>1</v>
      </c>
      <c r="H89">
        <v>3</v>
      </c>
      <c r="I89" t="s">
        <v>323</v>
      </c>
      <c r="J89" t="s">
        <v>324</v>
      </c>
      <c r="K89" t="s">
        <v>325</v>
      </c>
      <c r="L89">
        <v>1348</v>
      </c>
      <c r="N89">
        <v>1009</v>
      </c>
      <c r="O89" t="s">
        <v>57</v>
      </c>
      <c r="P89" t="s">
        <v>57</v>
      </c>
      <c r="Q89">
        <v>1000</v>
      </c>
      <c r="W89">
        <v>0</v>
      </c>
      <c r="X89">
        <v>-2084827333</v>
      </c>
      <c r="Y89">
        <v>7.1999999999999995E-2</v>
      </c>
      <c r="AA89">
        <v>4294</v>
      </c>
      <c r="AB89">
        <v>0</v>
      </c>
      <c r="AC89">
        <v>0</v>
      </c>
      <c r="AD89">
        <v>0</v>
      </c>
      <c r="AE89">
        <v>4294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7.1999999999999995E-2</v>
      </c>
      <c r="AU89" t="s">
        <v>6</v>
      </c>
      <c r="AV89">
        <v>0</v>
      </c>
      <c r="AW89">
        <v>2</v>
      </c>
      <c r="AX89">
        <v>16481826</v>
      </c>
      <c r="AY89">
        <v>1</v>
      </c>
      <c r="AZ89">
        <v>0</v>
      </c>
      <c r="BA89">
        <v>82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Y89*Source!I50</f>
        <v>1.8921599999999997E-2</v>
      </c>
      <c r="CY89">
        <f t="shared" si="12"/>
        <v>4294</v>
      </c>
      <c r="CZ89">
        <f t="shared" si="13"/>
        <v>4294</v>
      </c>
      <c r="DA89">
        <f t="shared" si="14"/>
        <v>1</v>
      </c>
      <c r="DB89">
        <v>0</v>
      </c>
    </row>
    <row r="90" spans="1:106" x14ac:dyDescent="0.2">
      <c r="A90">
        <f>ROW(Source!A51)</f>
        <v>51</v>
      </c>
      <c r="B90">
        <v>16481627</v>
      </c>
      <c r="C90">
        <v>16481801</v>
      </c>
      <c r="D90">
        <v>15435099</v>
      </c>
      <c r="E90">
        <v>1</v>
      </c>
      <c r="F90">
        <v>1</v>
      </c>
      <c r="G90">
        <v>1</v>
      </c>
      <c r="H90">
        <v>1</v>
      </c>
      <c r="I90" t="s">
        <v>305</v>
      </c>
      <c r="J90" t="s">
        <v>6</v>
      </c>
      <c r="K90" t="s">
        <v>306</v>
      </c>
      <c r="L90">
        <v>1191</v>
      </c>
      <c r="N90">
        <v>1013</v>
      </c>
      <c r="O90" t="s">
        <v>254</v>
      </c>
      <c r="P90" t="s">
        <v>254</v>
      </c>
      <c r="Q90">
        <v>1</v>
      </c>
      <c r="W90">
        <v>0</v>
      </c>
      <c r="X90">
        <v>1010519658</v>
      </c>
      <c r="Y90">
        <v>29.6</v>
      </c>
      <c r="AA90">
        <v>0</v>
      </c>
      <c r="AB90">
        <v>0</v>
      </c>
      <c r="AC90">
        <v>0</v>
      </c>
      <c r="AD90">
        <v>51.75</v>
      </c>
      <c r="AE90">
        <v>0</v>
      </c>
      <c r="AF90">
        <v>0</v>
      </c>
      <c r="AG90">
        <v>0</v>
      </c>
      <c r="AH90">
        <v>8.64</v>
      </c>
      <c r="AI90">
        <v>1</v>
      </c>
      <c r="AJ90">
        <v>1</v>
      </c>
      <c r="AK90">
        <v>1</v>
      </c>
      <c r="AL90">
        <v>5.99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29.6</v>
      </c>
      <c r="AU90" t="s">
        <v>6</v>
      </c>
      <c r="AV90">
        <v>1</v>
      </c>
      <c r="AW90">
        <v>2</v>
      </c>
      <c r="AX90">
        <v>16481815</v>
      </c>
      <c r="AY90">
        <v>1</v>
      </c>
      <c r="AZ90">
        <v>0</v>
      </c>
      <c r="BA90">
        <v>83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Y90*Source!I51</f>
        <v>7.77888</v>
      </c>
      <c r="CY90">
        <f>AD90</f>
        <v>51.75</v>
      </c>
      <c r="CZ90">
        <f>AH90</f>
        <v>8.64</v>
      </c>
      <c r="DA90">
        <f>AL90</f>
        <v>5.99</v>
      </c>
      <c r="DB90">
        <v>0</v>
      </c>
    </row>
    <row r="91" spans="1:106" x14ac:dyDescent="0.2">
      <c r="A91">
        <f>ROW(Source!A51)</f>
        <v>51</v>
      </c>
      <c r="B91">
        <v>16481627</v>
      </c>
      <c r="C91">
        <v>16481801</v>
      </c>
      <c r="D91">
        <v>15430395</v>
      </c>
      <c r="E91">
        <v>1</v>
      </c>
      <c r="F91">
        <v>1</v>
      </c>
      <c r="G91">
        <v>1</v>
      </c>
      <c r="H91">
        <v>1</v>
      </c>
      <c r="I91" t="s">
        <v>255</v>
      </c>
      <c r="J91" t="s">
        <v>6</v>
      </c>
      <c r="K91" t="s">
        <v>256</v>
      </c>
      <c r="L91">
        <v>1191</v>
      </c>
      <c r="N91">
        <v>1013</v>
      </c>
      <c r="O91" t="s">
        <v>254</v>
      </c>
      <c r="P91" t="s">
        <v>254</v>
      </c>
      <c r="Q91">
        <v>1</v>
      </c>
      <c r="W91">
        <v>0</v>
      </c>
      <c r="X91">
        <v>-1417349443</v>
      </c>
      <c r="Y91">
        <v>0.16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5.99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0.16</v>
      </c>
      <c r="AU91" t="s">
        <v>6</v>
      </c>
      <c r="AV91">
        <v>2</v>
      </c>
      <c r="AW91">
        <v>2</v>
      </c>
      <c r="AX91">
        <v>16481816</v>
      </c>
      <c r="AY91">
        <v>1</v>
      </c>
      <c r="AZ91">
        <v>0</v>
      </c>
      <c r="BA91">
        <v>84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Y91*Source!I51</f>
        <v>4.2047999999999995E-2</v>
      </c>
      <c r="CY91">
        <f>AD91</f>
        <v>0</v>
      </c>
      <c r="CZ91">
        <f>AH91</f>
        <v>0</v>
      </c>
      <c r="DA91">
        <f>AL91</f>
        <v>1</v>
      </c>
      <c r="DB91">
        <v>0</v>
      </c>
    </row>
    <row r="92" spans="1:106" x14ac:dyDescent="0.2">
      <c r="A92">
        <f>ROW(Source!A51)</f>
        <v>51</v>
      </c>
      <c r="B92">
        <v>16481627</v>
      </c>
      <c r="C92">
        <v>16481801</v>
      </c>
      <c r="D92">
        <v>15247974</v>
      </c>
      <c r="E92">
        <v>1</v>
      </c>
      <c r="F92">
        <v>1</v>
      </c>
      <c r="G92">
        <v>1</v>
      </c>
      <c r="H92">
        <v>2</v>
      </c>
      <c r="I92" t="s">
        <v>257</v>
      </c>
      <c r="J92" t="s">
        <v>258</v>
      </c>
      <c r="K92" t="s">
        <v>259</v>
      </c>
      <c r="L92">
        <v>1368</v>
      </c>
      <c r="N92">
        <v>1011</v>
      </c>
      <c r="O92" t="s">
        <v>260</v>
      </c>
      <c r="P92" t="s">
        <v>260</v>
      </c>
      <c r="Q92">
        <v>1</v>
      </c>
      <c r="W92">
        <v>0</v>
      </c>
      <c r="X92">
        <v>1188625873</v>
      </c>
      <c r="Y92">
        <v>0.1</v>
      </c>
      <c r="AA92">
        <v>0</v>
      </c>
      <c r="AB92">
        <v>187.25</v>
      </c>
      <c r="AC92">
        <v>13.5</v>
      </c>
      <c r="AD92">
        <v>0</v>
      </c>
      <c r="AE92">
        <v>0</v>
      </c>
      <c r="AF92">
        <v>31.26</v>
      </c>
      <c r="AG92">
        <v>13.5</v>
      </c>
      <c r="AH92">
        <v>0</v>
      </c>
      <c r="AI92">
        <v>1</v>
      </c>
      <c r="AJ92">
        <v>5.99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0.1</v>
      </c>
      <c r="AU92" t="s">
        <v>6</v>
      </c>
      <c r="AV92">
        <v>0</v>
      </c>
      <c r="AW92">
        <v>2</v>
      </c>
      <c r="AX92">
        <v>16481817</v>
      </c>
      <c r="AY92">
        <v>1</v>
      </c>
      <c r="AZ92">
        <v>0</v>
      </c>
      <c r="BA92">
        <v>85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Y92*Source!I51</f>
        <v>2.6279999999999998E-2</v>
      </c>
      <c r="CY92">
        <f>AB92</f>
        <v>187.25</v>
      </c>
      <c r="CZ92">
        <f>AF92</f>
        <v>31.26</v>
      </c>
      <c r="DA92">
        <f>AJ92</f>
        <v>5.99</v>
      </c>
      <c r="DB92">
        <v>0</v>
      </c>
    </row>
    <row r="93" spans="1:106" x14ac:dyDescent="0.2">
      <c r="A93">
        <f>ROW(Source!A51)</f>
        <v>51</v>
      </c>
      <c r="B93">
        <v>16481627</v>
      </c>
      <c r="C93">
        <v>16481801</v>
      </c>
      <c r="D93">
        <v>15249073</v>
      </c>
      <c r="E93">
        <v>1</v>
      </c>
      <c r="F93">
        <v>1</v>
      </c>
      <c r="G93">
        <v>1</v>
      </c>
      <c r="H93">
        <v>2</v>
      </c>
      <c r="I93" t="s">
        <v>263</v>
      </c>
      <c r="J93" t="s">
        <v>264</v>
      </c>
      <c r="K93" t="s">
        <v>265</v>
      </c>
      <c r="L93">
        <v>1368</v>
      </c>
      <c r="N93">
        <v>1011</v>
      </c>
      <c r="O93" t="s">
        <v>260</v>
      </c>
      <c r="P93" t="s">
        <v>260</v>
      </c>
      <c r="Q93">
        <v>1</v>
      </c>
      <c r="W93">
        <v>0</v>
      </c>
      <c r="X93">
        <v>1372534845</v>
      </c>
      <c r="Y93">
        <v>0.06</v>
      </c>
      <c r="AA93">
        <v>0</v>
      </c>
      <c r="AB93">
        <v>393.6</v>
      </c>
      <c r="AC93">
        <v>11.6</v>
      </c>
      <c r="AD93">
        <v>0</v>
      </c>
      <c r="AE93">
        <v>0</v>
      </c>
      <c r="AF93">
        <v>65.709999999999994</v>
      </c>
      <c r="AG93">
        <v>11.6</v>
      </c>
      <c r="AH93">
        <v>0</v>
      </c>
      <c r="AI93">
        <v>1</v>
      </c>
      <c r="AJ93">
        <v>5.99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0.06</v>
      </c>
      <c r="AU93" t="s">
        <v>6</v>
      </c>
      <c r="AV93">
        <v>0</v>
      </c>
      <c r="AW93">
        <v>2</v>
      </c>
      <c r="AX93">
        <v>16481818</v>
      </c>
      <c r="AY93">
        <v>1</v>
      </c>
      <c r="AZ93">
        <v>0</v>
      </c>
      <c r="BA93">
        <v>86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Y93*Source!I51</f>
        <v>1.5767999999999997E-2</v>
      </c>
      <c r="CY93">
        <f>AB93</f>
        <v>393.6</v>
      </c>
      <c r="CZ93">
        <f>AF93</f>
        <v>65.709999999999994</v>
      </c>
      <c r="DA93">
        <f>AJ93</f>
        <v>5.99</v>
      </c>
      <c r="DB93">
        <v>0</v>
      </c>
    </row>
    <row r="94" spans="1:106" x14ac:dyDescent="0.2">
      <c r="A94">
        <f>ROW(Source!A51)</f>
        <v>51</v>
      </c>
      <c r="B94">
        <v>16481627</v>
      </c>
      <c r="C94">
        <v>16481801</v>
      </c>
      <c r="D94">
        <v>15167286</v>
      </c>
      <c r="E94">
        <v>1</v>
      </c>
      <c r="F94">
        <v>1</v>
      </c>
      <c r="G94">
        <v>1</v>
      </c>
      <c r="H94">
        <v>3</v>
      </c>
      <c r="I94" t="s">
        <v>298</v>
      </c>
      <c r="J94" t="s">
        <v>299</v>
      </c>
      <c r="K94" t="s">
        <v>300</v>
      </c>
      <c r="L94">
        <v>1339</v>
      </c>
      <c r="N94">
        <v>1007</v>
      </c>
      <c r="O94" t="s">
        <v>301</v>
      </c>
      <c r="P94" t="s">
        <v>301</v>
      </c>
      <c r="Q94">
        <v>1</v>
      </c>
      <c r="W94">
        <v>0</v>
      </c>
      <c r="X94">
        <v>-1660354250</v>
      </c>
      <c r="Y94">
        <v>0.24</v>
      </c>
      <c r="AA94">
        <v>14.62</v>
      </c>
      <c r="AB94">
        <v>0</v>
      </c>
      <c r="AC94">
        <v>0</v>
      </c>
      <c r="AD94">
        <v>0</v>
      </c>
      <c r="AE94">
        <v>2.44</v>
      </c>
      <c r="AF94">
        <v>0</v>
      </c>
      <c r="AG94">
        <v>0</v>
      </c>
      <c r="AH94">
        <v>0</v>
      </c>
      <c r="AI94">
        <v>5.99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0.24</v>
      </c>
      <c r="AU94" t="s">
        <v>6</v>
      </c>
      <c r="AV94">
        <v>0</v>
      </c>
      <c r="AW94">
        <v>2</v>
      </c>
      <c r="AX94">
        <v>16481819</v>
      </c>
      <c r="AY94">
        <v>1</v>
      </c>
      <c r="AZ94">
        <v>0</v>
      </c>
      <c r="BA94">
        <v>87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Y94*Source!I51</f>
        <v>6.3071999999999989E-2</v>
      </c>
      <c r="CY94">
        <f t="shared" ref="CY94:CY102" si="15">AA94</f>
        <v>14.62</v>
      </c>
      <c r="CZ94">
        <f t="shared" ref="CZ94:CZ102" si="16">AE94</f>
        <v>2.44</v>
      </c>
      <c r="DA94">
        <f t="shared" ref="DA94:DA102" si="17">AI94</f>
        <v>5.99</v>
      </c>
      <c r="DB94">
        <v>0</v>
      </c>
    </row>
    <row r="95" spans="1:106" x14ac:dyDescent="0.2">
      <c r="A95">
        <f>ROW(Source!A51)</f>
        <v>51</v>
      </c>
      <c r="B95">
        <v>16481627</v>
      </c>
      <c r="C95">
        <v>16481801</v>
      </c>
      <c r="D95">
        <v>15167766</v>
      </c>
      <c r="E95">
        <v>1</v>
      </c>
      <c r="F95">
        <v>1</v>
      </c>
      <c r="G95">
        <v>1</v>
      </c>
      <c r="H95">
        <v>3</v>
      </c>
      <c r="I95" t="s">
        <v>307</v>
      </c>
      <c r="J95" t="s">
        <v>308</v>
      </c>
      <c r="K95" t="s">
        <v>309</v>
      </c>
      <c r="L95">
        <v>1354</v>
      </c>
      <c r="N95">
        <v>1010</v>
      </c>
      <c r="O95" t="s">
        <v>287</v>
      </c>
      <c r="P95" t="s">
        <v>287</v>
      </c>
      <c r="Q95">
        <v>1</v>
      </c>
      <c r="W95">
        <v>0</v>
      </c>
      <c r="X95">
        <v>-1046673864</v>
      </c>
      <c r="Y95">
        <v>5.0999999999999996</v>
      </c>
      <c r="AA95">
        <v>26.96</v>
      </c>
      <c r="AB95">
        <v>0</v>
      </c>
      <c r="AC95">
        <v>0</v>
      </c>
      <c r="AD95">
        <v>0</v>
      </c>
      <c r="AE95">
        <v>4.5</v>
      </c>
      <c r="AF95">
        <v>0</v>
      </c>
      <c r="AG95">
        <v>0</v>
      </c>
      <c r="AH95">
        <v>0</v>
      </c>
      <c r="AI95">
        <v>5.99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6</v>
      </c>
      <c r="AT95">
        <v>5.0999999999999996</v>
      </c>
      <c r="AU95" t="s">
        <v>6</v>
      </c>
      <c r="AV95">
        <v>0</v>
      </c>
      <c r="AW95">
        <v>2</v>
      </c>
      <c r="AX95">
        <v>16481820</v>
      </c>
      <c r="AY95">
        <v>1</v>
      </c>
      <c r="AZ95">
        <v>0</v>
      </c>
      <c r="BA95">
        <v>88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Y95*Source!I51</f>
        <v>1.3402799999999997</v>
      </c>
      <c r="CY95">
        <f t="shared" si="15"/>
        <v>26.96</v>
      </c>
      <c r="CZ95">
        <f t="shared" si="16"/>
        <v>4.5</v>
      </c>
      <c r="DA95">
        <f t="shared" si="17"/>
        <v>5.99</v>
      </c>
      <c r="DB95">
        <v>0</v>
      </c>
    </row>
    <row r="96" spans="1:106" x14ac:dyDescent="0.2">
      <c r="A96">
        <f>ROW(Source!A51)</f>
        <v>51</v>
      </c>
      <c r="B96">
        <v>16481627</v>
      </c>
      <c r="C96">
        <v>16481801</v>
      </c>
      <c r="D96">
        <v>15168015</v>
      </c>
      <c r="E96">
        <v>1</v>
      </c>
      <c r="F96">
        <v>1</v>
      </c>
      <c r="G96">
        <v>1</v>
      </c>
      <c r="H96">
        <v>3</v>
      </c>
      <c r="I96" t="s">
        <v>310</v>
      </c>
      <c r="J96" t="s">
        <v>311</v>
      </c>
      <c r="K96" t="s">
        <v>312</v>
      </c>
      <c r="L96">
        <v>1348</v>
      </c>
      <c r="N96">
        <v>1009</v>
      </c>
      <c r="O96" t="s">
        <v>57</v>
      </c>
      <c r="P96" t="s">
        <v>57</v>
      </c>
      <c r="Q96">
        <v>1000</v>
      </c>
      <c r="W96">
        <v>0</v>
      </c>
      <c r="X96">
        <v>-526970962</v>
      </c>
      <c r="Y96">
        <v>2.5499999999999998E-2</v>
      </c>
      <c r="AA96">
        <v>3512.96</v>
      </c>
      <c r="AB96">
        <v>0</v>
      </c>
      <c r="AC96">
        <v>0</v>
      </c>
      <c r="AD96">
        <v>0</v>
      </c>
      <c r="AE96">
        <v>586.47</v>
      </c>
      <c r="AF96">
        <v>0</v>
      </c>
      <c r="AG96">
        <v>0</v>
      </c>
      <c r="AH96">
        <v>0</v>
      </c>
      <c r="AI96">
        <v>5.99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6</v>
      </c>
      <c r="AT96">
        <v>2.5499999999999998E-2</v>
      </c>
      <c r="AU96" t="s">
        <v>6</v>
      </c>
      <c r="AV96">
        <v>0</v>
      </c>
      <c r="AW96">
        <v>2</v>
      </c>
      <c r="AX96">
        <v>16481821</v>
      </c>
      <c r="AY96">
        <v>1</v>
      </c>
      <c r="AZ96">
        <v>0</v>
      </c>
      <c r="BA96">
        <v>89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Y96*Source!I51</f>
        <v>6.7013999999999989E-3</v>
      </c>
      <c r="CY96">
        <f t="shared" si="15"/>
        <v>3512.96</v>
      </c>
      <c r="CZ96">
        <f t="shared" si="16"/>
        <v>586.47</v>
      </c>
      <c r="DA96">
        <f t="shared" si="17"/>
        <v>5.99</v>
      </c>
      <c r="DB96">
        <v>0</v>
      </c>
    </row>
    <row r="97" spans="1:106" x14ac:dyDescent="0.2">
      <c r="A97">
        <f>ROW(Source!A51)</f>
        <v>51</v>
      </c>
      <c r="B97">
        <v>16481627</v>
      </c>
      <c r="C97">
        <v>16481801</v>
      </c>
      <c r="D97">
        <v>15170682</v>
      </c>
      <c r="E97">
        <v>1</v>
      </c>
      <c r="F97">
        <v>1</v>
      </c>
      <c r="G97">
        <v>1</v>
      </c>
      <c r="H97">
        <v>3</v>
      </c>
      <c r="I97" t="s">
        <v>313</v>
      </c>
      <c r="J97" t="s">
        <v>314</v>
      </c>
      <c r="K97" t="s">
        <v>315</v>
      </c>
      <c r="L97">
        <v>1327</v>
      </c>
      <c r="N97">
        <v>1005</v>
      </c>
      <c r="O97" t="s">
        <v>32</v>
      </c>
      <c r="P97" t="s">
        <v>32</v>
      </c>
      <c r="Q97">
        <v>1</v>
      </c>
      <c r="W97">
        <v>0</v>
      </c>
      <c r="X97">
        <v>-1987926685</v>
      </c>
      <c r="Y97">
        <v>1.6</v>
      </c>
      <c r="AA97">
        <v>433.2</v>
      </c>
      <c r="AB97">
        <v>0</v>
      </c>
      <c r="AC97">
        <v>0</v>
      </c>
      <c r="AD97">
        <v>0</v>
      </c>
      <c r="AE97">
        <v>72.319999999999993</v>
      </c>
      <c r="AF97">
        <v>0</v>
      </c>
      <c r="AG97">
        <v>0</v>
      </c>
      <c r="AH97">
        <v>0</v>
      </c>
      <c r="AI97">
        <v>5.99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1.6</v>
      </c>
      <c r="AU97" t="s">
        <v>6</v>
      </c>
      <c r="AV97">
        <v>0</v>
      </c>
      <c r="AW97">
        <v>2</v>
      </c>
      <c r="AX97">
        <v>16481822</v>
      </c>
      <c r="AY97">
        <v>1</v>
      </c>
      <c r="AZ97">
        <v>0</v>
      </c>
      <c r="BA97">
        <v>90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Y97*Source!I51</f>
        <v>0.42047999999999996</v>
      </c>
      <c r="CY97">
        <f t="shared" si="15"/>
        <v>433.2</v>
      </c>
      <c r="CZ97">
        <f t="shared" si="16"/>
        <v>72.319999999999993</v>
      </c>
      <c r="DA97">
        <f t="shared" si="17"/>
        <v>5.99</v>
      </c>
      <c r="DB97">
        <v>0</v>
      </c>
    </row>
    <row r="98" spans="1:106" x14ac:dyDescent="0.2">
      <c r="A98">
        <f>ROW(Source!A51)</f>
        <v>51</v>
      </c>
      <c r="B98">
        <v>16481627</v>
      </c>
      <c r="C98">
        <v>16481801</v>
      </c>
      <c r="D98">
        <v>15171907</v>
      </c>
      <c r="E98">
        <v>1</v>
      </c>
      <c r="F98">
        <v>1</v>
      </c>
      <c r="G98">
        <v>1</v>
      </c>
      <c r="H98">
        <v>3</v>
      </c>
      <c r="I98" t="s">
        <v>316</v>
      </c>
      <c r="J98" t="s">
        <v>317</v>
      </c>
      <c r="K98" t="s">
        <v>318</v>
      </c>
      <c r="L98">
        <v>1339</v>
      </c>
      <c r="N98">
        <v>1007</v>
      </c>
      <c r="O98" t="s">
        <v>301</v>
      </c>
      <c r="P98" t="s">
        <v>301</v>
      </c>
      <c r="Q98">
        <v>1</v>
      </c>
      <c r="W98">
        <v>0</v>
      </c>
      <c r="X98">
        <v>1795918813</v>
      </c>
      <c r="Y98">
        <v>4.4000000000000003E-3</v>
      </c>
      <c r="AA98">
        <v>446.73</v>
      </c>
      <c r="AB98">
        <v>0</v>
      </c>
      <c r="AC98">
        <v>0</v>
      </c>
      <c r="AD98">
        <v>0</v>
      </c>
      <c r="AE98">
        <v>74.58</v>
      </c>
      <c r="AF98">
        <v>0</v>
      </c>
      <c r="AG98">
        <v>0</v>
      </c>
      <c r="AH98">
        <v>0</v>
      </c>
      <c r="AI98">
        <v>5.99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4.4000000000000003E-3</v>
      </c>
      <c r="AU98" t="s">
        <v>6</v>
      </c>
      <c r="AV98">
        <v>0</v>
      </c>
      <c r="AW98">
        <v>2</v>
      </c>
      <c r="AX98">
        <v>16481823</v>
      </c>
      <c r="AY98">
        <v>1</v>
      </c>
      <c r="AZ98">
        <v>0</v>
      </c>
      <c r="BA98">
        <v>91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Y98*Source!I51</f>
        <v>1.15632E-3</v>
      </c>
      <c r="CY98">
        <f t="shared" si="15"/>
        <v>446.73</v>
      </c>
      <c r="CZ98">
        <f t="shared" si="16"/>
        <v>74.58</v>
      </c>
      <c r="DA98">
        <f t="shared" si="17"/>
        <v>5.99</v>
      </c>
      <c r="DB98">
        <v>0</v>
      </c>
    </row>
    <row r="99" spans="1:106" x14ac:dyDescent="0.2">
      <c r="A99">
        <f>ROW(Source!A51)</f>
        <v>51</v>
      </c>
      <c r="B99">
        <v>16481627</v>
      </c>
      <c r="C99">
        <v>16481801</v>
      </c>
      <c r="D99">
        <v>15202490</v>
      </c>
      <c r="E99">
        <v>1</v>
      </c>
      <c r="F99">
        <v>1</v>
      </c>
      <c r="G99">
        <v>1</v>
      </c>
      <c r="H99">
        <v>3</v>
      </c>
      <c r="I99" t="s">
        <v>319</v>
      </c>
      <c r="J99" t="s">
        <v>320</v>
      </c>
      <c r="K99" t="s">
        <v>321</v>
      </c>
      <c r="L99">
        <v>1346</v>
      </c>
      <c r="N99">
        <v>1009</v>
      </c>
      <c r="O99" t="s">
        <v>322</v>
      </c>
      <c r="P99" t="s">
        <v>322</v>
      </c>
      <c r="Q99">
        <v>1</v>
      </c>
      <c r="W99">
        <v>0</v>
      </c>
      <c r="X99">
        <v>-1684093315</v>
      </c>
      <c r="Y99">
        <v>4.0199999999999996</v>
      </c>
      <c r="AA99">
        <v>48.46</v>
      </c>
      <c r="AB99">
        <v>0</v>
      </c>
      <c r="AC99">
        <v>0</v>
      </c>
      <c r="AD99">
        <v>0</v>
      </c>
      <c r="AE99">
        <v>8.09</v>
      </c>
      <c r="AF99">
        <v>0</v>
      </c>
      <c r="AG99">
        <v>0</v>
      </c>
      <c r="AH99">
        <v>0</v>
      </c>
      <c r="AI99">
        <v>5.99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4.0199999999999996</v>
      </c>
      <c r="AU99" t="s">
        <v>6</v>
      </c>
      <c r="AV99">
        <v>0</v>
      </c>
      <c r="AW99">
        <v>2</v>
      </c>
      <c r="AX99">
        <v>16481824</v>
      </c>
      <c r="AY99">
        <v>1</v>
      </c>
      <c r="AZ99">
        <v>0</v>
      </c>
      <c r="BA99">
        <v>92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Y99*Source!I51</f>
        <v>1.0564559999999998</v>
      </c>
      <c r="CY99">
        <f t="shared" si="15"/>
        <v>48.46</v>
      </c>
      <c r="CZ99">
        <f t="shared" si="16"/>
        <v>8.09</v>
      </c>
      <c r="DA99">
        <f t="shared" si="17"/>
        <v>5.99</v>
      </c>
      <c r="DB99">
        <v>0</v>
      </c>
    </row>
    <row r="100" spans="1:106" x14ac:dyDescent="0.2">
      <c r="A100">
        <f>ROW(Source!A51)</f>
        <v>51</v>
      </c>
      <c r="B100">
        <v>16481627</v>
      </c>
      <c r="C100">
        <v>16481801</v>
      </c>
      <c r="D100">
        <v>15163054</v>
      </c>
      <c r="E100">
        <v>17</v>
      </c>
      <c r="F100">
        <v>1</v>
      </c>
      <c r="G100">
        <v>1</v>
      </c>
      <c r="H100">
        <v>3</v>
      </c>
      <c r="I100" t="s">
        <v>84</v>
      </c>
      <c r="J100" t="s">
        <v>6</v>
      </c>
      <c r="K100" t="s">
        <v>85</v>
      </c>
      <c r="L100">
        <v>1348</v>
      </c>
      <c r="N100">
        <v>1009</v>
      </c>
      <c r="O100" t="s">
        <v>57</v>
      </c>
      <c r="P100" t="s">
        <v>57</v>
      </c>
      <c r="Q100">
        <v>1000</v>
      </c>
      <c r="W100">
        <v>0</v>
      </c>
      <c r="X100">
        <v>1891904026</v>
      </c>
      <c r="Y100">
        <v>7.0999999999999994E-2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5.99</v>
      </c>
      <c r="AJ100">
        <v>1</v>
      </c>
      <c r="AK100">
        <v>1</v>
      </c>
      <c r="AL100">
        <v>1</v>
      </c>
      <c r="AN100">
        <v>0</v>
      </c>
      <c r="AO100">
        <v>0</v>
      </c>
      <c r="AP100">
        <v>0</v>
      </c>
      <c r="AQ100">
        <v>0</v>
      </c>
      <c r="AR100">
        <v>0</v>
      </c>
      <c r="AS100" t="s">
        <v>6</v>
      </c>
      <c r="AT100">
        <v>7.0999999999999994E-2</v>
      </c>
      <c r="AU100" t="s">
        <v>6</v>
      </c>
      <c r="AV100">
        <v>0</v>
      </c>
      <c r="AW100">
        <v>2</v>
      </c>
      <c r="AX100">
        <v>16481825</v>
      </c>
      <c r="AY100">
        <v>1</v>
      </c>
      <c r="AZ100">
        <v>0</v>
      </c>
      <c r="BA100">
        <v>93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Y100*Source!I51</f>
        <v>1.8658799999999996E-2</v>
      </c>
      <c r="CY100">
        <f t="shared" si="15"/>
        <v>0</v>
      </c>
      <c r="CZ100">
        <f t="shared" si="16"/>
        <v>0</v>
      </c>
      <c r="DA100">
        <f t="shared" si="17"/>
        <v>5.99</v>
      </c>
      <c r="DB100">
        <v>0</v>
      </c>
    </row>
    <row r="101" spans="1:106" x14ac:dyDescent="0.2">
      <c r="A101">
        <f>ROW(Source!A51)</f>
        <v>51</v>
      </c>
      <c r="B101">
        <v>16481627</v>
      </c>
      <c r="C101">
        <v>16481801</v>
      </c>
      <c r="D101">
        <v>15203308</v>
      </c>
      <c r="E101">
        <v>1</v>
      </c>
      <c r="F101">
        <v>1</v>
      </c>
      <c r="G101">
        <v>1</v>
      </c>
      <c r="H101">
        <v>3</v>
      </c>
      <c r="I101" t="s">
        <v>87</v>
      </c>
      <c r="J101" t="s">
        <v>89</v>
      </c>
      <c r="K101" t="s">
        <v>88</v>
      </c>
      <c r="L101">
        <v>1348</v>
      </c>
      <c r="N101">
        <v>1009</v>
      </c>
      <c r="O101" t="s">
        <v>57</v>
      </c>
      <c r="P101" t="s">
        <v>57</v>
      </c>
      <c r="Q101">
        <v>1000</v>
      </c>
      <c r="W101">
        <v>0</v>
      </c>
      <c r="X101">
        <v>772632804</v>
      </c>
      <c r="Y101">
        <v>7.1002999999999997E-2</v>
      </c>
      <c r="AA101">
        <v>119642.28</v>
      </c>
      <c r="AB101">
        <v>0</v>
      </c>
      <c r="AC101">
        <v>0</v>
      </c>
      <c r="AD101">
        <v>0</v>
      </c>
      <c r="AE101">
        <v>19973.669999999998</v>
      </c>
      <c r="AF101">
        <v>0</v>
      </c>
      <c r="AG101">
        <v>0</v>
      </c>
      <c r="AH101">
        <v>0</v>
      </c>
      <c r="AI101">
        <v>5.99</v>
      </c>
      <c r="AJ101">
        <v>1</v>
      </c>
      <c r="AK101">
        <v>1</v>
      </c>
      <c r="AL101">
        <v>1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6</v>
      </c>
      <c r="AT101">
        <v>7.1002999999999997E-2</v>
      </c>
      <c r="AU101" t="s">
        <v>6</v>
      </c>
      <c r="AV101">
        <v>0</v>
      </c>
      <c r="AW101">
        <v>1</v>
      </c>
      <c r="AX101">
        <v>-1</v>
      </c>
      <c r="AY101">
        <v>0</v>
      </c>
      <c r="AZ101">
        <v>0</v>
      </c>
      <c r="BA101" t="s">
        <v>6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Y101*Source!I51</f>
        <v>1.8659588399999996E-2</v>
      </c>
      <c r="CY101">
        <f t="shared" si="15"/>
        <v>119642.28</v>
      </c>
      <c r="CZ101">
        <f t="shared" si="16"/>
        <v>19973.669999999998</v>
      </c>
      <c r="DA101">
        <f t="shared" si="17"/>
        <v>5.99</v>
      </c>
      <c r="DB101">
        <v>0</v>
      </c>
    </row>
    <row r="102" spans="1:106" x14ac:dyDescent="0.2">
      <c r="A102">
        <f>ROW(Source!A51)</f>
        <v>51</v>
      </c>
      <c r="B102">
        <v>16481627</v>
      </c>
      <c r="C102">
        <v>16481801</v>
      </c>
      <c r="D102">
        <v>15204729</v>
      </c>
      <c r="E102">
        <v>1</v>
      </c>
      <c r="F102">
        <v>1</v>
      </c>
      <c r="G102">
        <v>1</v>
      </c>
      <c r="H102">
        <v>3</v>
      </c>
      <c r="I102" t="s">
        <v>323</v>
      </c>
      <c r="J102" t="s">
        <v>324</v>
      </c>
      <c r="K102" t="s">
        <v>325</v>
      </c>
      <c r="L102">
        <v>1348</v>
      </c>
      <c r="N102">
        <v>1009</v>
      </c>
      <c r="O102" t="s">
        <v>57</v>
      </c>
      <c r="P102" t="s">
        <v>57</v>
      </c>
      <c r="Q102">
        <v>1000</v>
      </c>
      <c r="W102">
        <v>0</v>
      </c>
      <c r="X102">
        <v>-2084827333</v>
      </c>
      <c r="Y102">
        <v>7.1999999999999995E-2</v>
      </c>
      <c r="AA102">
        <v>25721.06</v>
      </c>
      <c r="AB102">
        <v>0</v>
      </c>
      <c r="AC102">
        <v>0</v>
      </c>
      <c r="AD102">
        <v>0</v>
      </c>
      <c r="AE102">
        <v>4294</v>
      </c>
      <c r="AF102">
        <v>0</v>
      </c>
      <c r="AG102">
        <v>0</v>
      </c>
      <c r="AH102">
        <v>0</v>
      </c>
      <c r="AI102">
        <v>5.99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7.1999999999999995E-2</v>
      </c>
      <c r="AU102" t="s">
        <v>6</v>
      </c>
      <c r="AV102">
        <v>0</v>
      </c>
      <c r="AW102">
        <v>2</v>
      </c>
      <c r="AX102">
        <v>16481826</v>
      </c>
      <c r="AY102">
        <v>1</v>
      </c>
      <c r="AZ102">
        <v>0</v>
      </c>
      <c r="BA102">
        <v>94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Y102*Source!I51</f>
        <v>1.8921599999999997E-2</v>
      </c>
      <c r="CY102">
        <f t="shared" si="15"/>
        <v>25721.06</v>
      </c>
      <c r="CZ102">
        <f t="shared" si="16"/>
        <v>4294</v>
      </c>
      <c r="DA102">
        <f t="shared" si="17"/>
        <v>5.99</v>
      </c>
      <c r="DB102">
        <v>0</v>
      </c>
    </row>
    <row r="103" spans="1:106" x14ac:dyDescent="0.2">
      <c r="A103">
        <f>ROW(Source!A56)</f>
        <v>56</v>
      </c>
      <c r="B103">
        <v>16481626</v>
      </c>
      <c r="C103">
        <v>16481829</v>
      </c>
      <c r="D103">
        <v>15436014</v>
      </c>
      <c r="E103">
        <v>1</v>
      </c>
      <c r="F103">
        <v>1</v>
      </c>
      <c r="G103">
        <v>1</v>
      </c>
      <c r="H103">
        <v>1</v>
      </c>
      <c r="I103" t="s">
        <v>261</v>
      </c>
      <c r="J103" t="s">
        <v>6</v>
      </c>
      <c r="K103" t="s">
        <v>262</v>
      </c>
      <c r="L103">
        <v>1191</v>
      </c>
      <c r="N103">
        <v>1013</v>
      </c>
      <c r="O103" t="s">
        <v>254</v>
      </c>
      <c r="P103" t="s">
        <v>254</v>
      </c>
      <c r="Q103">
        <v>1</v>
      </c>
      <c r="W103">
        <v>0</v>
      </c>
      <c r="X103">
        <v>-784637506</v>
      </c>
      <c r="Y103">
        <v>188.25</v>
      </c>
      <c r="AA103">
        <v>0</v>
      </c>
      <c r="AB103">
        <v>0</v>
      </c>
      <c r="AC103">
        <v>0</v>
      </c>
      <c r="AD103">
        <v>8.74</v>
      </c>
      <c r="AE103">
        <v>0</v>
      </c>
      <c r="AF103">
        <v>0</v>
      </c>
      <c r="AG103">
        <v>0</v>
      </c>
      <c r="AH103">
        <v>8.74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188.25</v>
      </c>
      <c r="AU103" t="s">
        <v>6</v>
      </c>
      <c r="AV103">
        <v>1</v>
      </c>
      <c r="AW103">
        <v>2</v>
      </c>
      <c r="AX103">
        <v>16481835</v>
      </c>
      <c r="AY103">
        <v>1</v>
      </c>
      <c r="AZ103">
        <v>0</v>
      </c>
      <c r="BA103">
        <v>95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Y103*Source!I56</f>
        <v>40.661999999999999</v>
      </c>
      <c r="CY103">
        <f>AD103</f>
        <v>8.74</v>
      </c>
      <c r="CZ103">
        <f>AH103</f>
        <v>8.74</v>
      </c>
      <c r="DA103">
        <f>AL103</f>
        <v>1</v>
      </c>
      <c r="DB103">
        <v>0</v>
      </c>
    </row>
    <row r="104" spans="1:106" x14ac:dyDescent="0.2">
      <c r="A104">
        <f>ROW(Source!A56)</f>
        <v>56</v>
      </c>
      <c r="B104">
        <v>16481626</v>
      </c>
      <c r="C104">
        <v>16481829</v>
      </c>
      <c r="D104">
        <v>15247878</v>
      </c>
      <c r="E104">
        <v>1</v>
      </c>
      <c r="F104">
        <v>1</v>
      </c>
      <c r="G104">
        <v>1</v>
      </c>
      <c r="H104">
        <v>2</v>
      </c>
      <c r="I104" t="s">
        <v>326</v>
      </c>
      <c r="J104" t="s">
        <v>327</v>
      </c>
      <c r="K104" t="s">
        <v>328</v>
      </c>
      <c r="L104">
        <v>1368</v>
      </c>
      <c r="N104">
        <v>1011</v>
      </c>
      <c r="O104" t="s">
        <v>260</v>
      </c>
      <c r="P104" t="s">
        <v>260</v>
      </c>
      <c r="Q104">
        <v>1</v>
      </c>
      <c r="W104">
        <v>0</v>
      </c>
      <c r="X104">
        <v>1047452784</v>
      </c>
      <c r="Y104">
        <v>0.71</v>
      </c>
      <c r="AA104">
        <v>0</v>
      </c>
      <c r="AB104">
        <v>1.7</v>
      </c>
      <c r="AC104">
        <v>0</v>
      </c>
      <c r="AD104">
        <v>0</v>
      </c>
      <c r="AE104">
        <v>0</v>
      </c>
      <c r="AF104">
        <v>1.7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0.71</v>
      </c>
      <c r="AU104" t="s">
        <v>6</v>
      </c>
      <c r="AV104">
        <v>0</v>
      </c>
      <c r="AW104">
        <v>2</v>
      </c>
      <c r="AX104">
        <v>16481836</v>
      </c>
      <c r="AY104">
        <v>1</v>
      </c>
      <c r="AZ104">
        <v>0</v>
      </c>
      <c r="BA104">
        <v>96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Y104*Source!I56</f>
        <v>0.15336</v>
      </c>
      <c r="CY104">
        <f>AB104</f>
        <v>1.7</v>
      </c>
      <c r="CZ104">
        <f>AF104</f>
        <v>1.7</v>
      </c>
      <c r="DA104">
        <f>AJ104</f>
        <v>1</v>
      </c>
      <c r="DB104">
        <v>0</v>
      </c>
    </row>
    <row r="105" spans="1:106" x14ac:dyDescent="0.2">
      <c r="A105">
        <f>ROW(Source!A56)</f>
        <v>56</v>
      </c>
      <c r="B105">
        <v>16481626</v>
      </c>
      <c r="C105">
        <v>16481829</v>
      </c>
      <c r="D105">
        <v>15167286</v>
      </c>
      <c r="E105">
        <v>1</v>
      </c>
      <c r="F105">
        <v>1</v>
      </c>
      <c r="G105">
        <v>1</v>
      </c>
      <c r="H105">
        <v>3</v>
      </c>
      <c r="I105" t="s">
        <v>298</v>
      </c>
      <c r="J105" t="s">
        <v>299</v>
      </c>
      <c r="K105" t="s">
        <v>300</v>
      </c>
      <c r="L105">
        <v>1339</v>
      </c>
      <c r="N105">
        <v>1007</v>
      </c>
      <c r="O105" t="s">
        <v>301</v>
      </c>
      <c r="P105" t="s">
        <v>301</v>
      </c>
      <c r="Q105">
        <v>1</v>
      </c>
      <c r="W105">
        <v>0</v>
      </c>
      <c r="X105">
        <v>-1660354250</v>
      </c>
      <c r="Y105">
        <v>0.35</v>
      </c>
      <c r="AA105">
        <v>2.44</v>
      </c>
      <c r="AB105">
        <v>0</v>
      </c>
      <c r="AC105">
        <v>0</v>
      </c>
      <c r="AD105">
        <v>0</v>
      </c>
      <c r="AE105">
        <v>2.44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0.35</v>
      </c>
      <c r="AU105" t="s">
        <v>6</v>
      </c>
      <c r="AV105">
        <v>0</v>
      </c>
      <c r="AW105">
        <v>2</v>
      </c>
      <c r="AX105">
        <v>16481837</v>
      </c>
      <c r="AY105">
        <v>1</v>
      </c>
      <c r="AZ105">
        <v>0</v>
      </c>
      <c r="BA105">
        <v>97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Y105*Source!I56</f>
        <v>7.5600000000000001E-2</v>
      </c>
      <c r="CY105">
        <f>AA105</f>
        <v>2.44</v>
      </c>
      <c r="CZ105">
        <f>AE105</f>
        <v>2.44</v>
      </c>
      <c r="DA105">
        <f>AI105</f>
        <v>1</v>
      </c>
      <c r="DB105">
        <v>0</v>
      </c>
    </row>
    <row r="106" spans="1:106" x14ac:dyDescent="0.2">
      <c r="A106">
        <f>ROW(Source!A56)</f>
        <v>56</v>
      </c>
      <c r="B106">
        <v>16481626</v>
      </c>
      <c r="C106">
        <v>16481829</v>
      </c>
      <c r="D106">
        <v>15164566</v>
      </c>
      <c r="E106">
        <v>17</v>
      </c>
      <c r="F106">
        <v>1</v>
      </c>
      <c r="G106">
        <v>1</v>
      </c>
      <c r="H106">
        <v>3</v>
      </c>
      <c r="I106" t="s">
        <v>55</v>
      </c>
      <c r="J106" t="s">
        <v>6</v>
      </c>
      <c r="K106" t="s">
        <v>56</v>
      </c>
      <c r="L106">
        <v>1348</v>
      </c>
      <c r="N106">
        <v>1009</v>
      </c>
      <c r="O106" t="s">
        <v>57</v>
      </c>
      <c r="P106" t="s">
        <v>57</v>
      </c>
      <c r="Q106">
        <v>1000</v>
      </c>
      <c r="W106">
        <v>0</v>
      </c>
      <c r="X106">
        <v>-179832266</v>
      </c>
      <c r="Y106">
        <v>4.84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6</v>
      </c>
      <c r="AT106">
        <v>4.84</v>
      </c>
      <c r="AU106" t="s">
        <v>6</v>
      </c>
      <c r="AV106">
        <v>0</v>
      </c>
      <c r="AW106">
        <v>2</v>
      </c>
      <c r="AX106">
        <v>16481838</v>
      </c>
      <c r="AY106">
        <v>1</v>
      </c>
      <c r="AZ106">
        <v>0</v>
      </c>
      <c r="BA106">
        <v>98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Y106*Source!I56</f>
        <v>1.0454399999999999</v>
      </c>
      <c r="CY106">
        <f>AA106</f>
        <v>0</v>
      </c>
      <c r="CZ106">
        <f>AE106</f>
        <v>0</v>
      </c>
      <c r="DA106">
        <f>AI106</f>
        <v>1</v>
      </c>
      <c r="DB106">
        <v>0</v>
      </c>
    </row>
    <row r="107" spans="1:106" x14ac:dyDescent="0.2">
      <c r="A107">
        <f>ROW(Source!A56)</f>
        <v>56</v>
      </c>
      <c r="B107">
        <v>16481626</v>
      </c>
      <c r="C107">
        <v>16481829</v>
      </c>
      <c r="D107">
        <v>15172875</v>
      </c>
      <c r="E107">
        <v>1</v>
      </c>
      <c r="F107">
        <v>1</v>
      </c>
      <c r="G107">
        <v>1</v>
      </c>
      <c r="H107">
        <v>3</v>
      </c>
      <c r="I107" t="s">
        <v>302</v>
      </c>
      <c r="J107" t="s">
        <v>303</v>
      </c>
      <c r="K107" t="s">
        <v>304</v>
      </c>
      <c r="L107">
        <v>1339</v>
      </c>
      <c r="N107">
        <v>1007</v>
      </c>
      <c r="O107" t="s">
        <v>301</v>
      </c>
      <c r="P107" t="s">
        <v>301</v>
      </c>
      <c r="Q107">
        <v>1</v>
      </c>
      <c r="W107">
        <v>0</v>
      </c>
      <c r="X107">
        <v>-1001479081</v>
      </c>
      <c r="Y107">
        <v>2.2000000000000002</v>
      </c>
      <c r="AA107">
        <v>517.91</v>
      </c>
      <c r="AB107">
        <v>0</v>
      </c>
      <c r="AC107">
        <v>0</v>
      </c>
      <c r="AD107">
        <v>0</v>
      </c>
      <c r="AE107">
        <v>517.91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2.2000000000000002</v>
      </c>
      <c r="AU107" t="s">
        <v>6</v>
      </c>
      <c r="AV107">
        <v>0</v>
      </c>
      <c r="AW107">
        <v>2</v>
      </c>
      <c r="AX107">
        <v>16481839</v>
      </c>
      <c r="AY107">
        <v>1</v>
      </c>
      <c r="AZ107">
        <v>0</v>
      </c>
      <c r="BA107">
        <v>99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Y107*Source!I56</f>
        <v>0.47520000000000001</v>
      </c>
      <c r="CY107">
        <f>AA107</f>
        <v>517.91</v>
      </c>
      <c r="CZ107">
        <f>AE107</f>
        <v>517.91</v>
      </c>
      <c r="DA107">
        <f>AI107</f>
        <v>1</v>
      </c>
      <c r="DB107">
        <v>0</v>
      </c>
    </row>
    <row r="108" spans="1:106" x14ac:dyDescent="0.2">
      <c r="A108">
        <f>ROW(Source!A57)</f>
        <v>57</v>
      </c>
      <c r="B108">
        <v>16481627</v>
      </c>
      <c r="C108">
        <v>16481829</v>
      </c>
      <c r="D108">
        <v>15436014</v>
      </c>
      <c r="E108">
        <v>1</v>
      </c>
      <c r="F108">
        <v>1</v>
      </c>
      <c r="G108">
        <v>1</v>
      </c>
      <c r="H108">
        <v>1</v>
      </c>
      <c r="I108" t="s">
        <v>261</v>
      </c>
      <c r="J108" t="s">
        <v>6</v>
      </c>
      <c r="K108" t="s">
        <v>262</v>
      </c>
      <c r="L108">
        <v>1191</v>
      </c>
      <c r="N108">
        <v>1013</v>
      </c>
      <c r="O108" t="s">
        <v>254</v>
      </c>
      <c r="P108" t="s">
        <v>254</v>
      </c>
      <c r="Q108">
        <v>1</v>
      </c>
      <c r="W108">
        <v>0</v>
      </c>
      <c r="X108">
        <v>-784637506</v>
      </c>
      <c r="Y108">
        <v>188.25</v>
      </c>
      <c r="AA108">
        <v>0</v>
      </c>
      <c r="AB108">
        <v>0</v>
      </c>
      <c r="AC108">
        <v>0</v>
      </c>
      <c r="AD108">
        <v>52.35</v>
      </c>
      <c r="AE108">
        <v>0</v>
      </c>
      <c r="AF108">
        <v>0</v>
      </c>
      <c r="AG108">
        <v>0</v>
      </c>
      <c r="AH108">
        <v>8.74</v>
      </c>
      <c r="AI108">
        <v>1</v>
      </c>
      <c r="AJ108">
        <v>1</v>
      </c>
      <c r="AK108">
        <v>1</v>
      </c>
      <c r="AL108">
        <v>5.99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188.25</v>
      </c>
      <c r="AU108" t="s">
        <v>6</v>
      </c>
      <c r="AV108">
        <v>1</v>
      </c>
      <c r="AW108">
        <v>2</v>
      </c>
      <c r="AX108">
        <v>16481835</v>
      </c>
      <c r="AY108">
        <v>1</v>
      </c>
      <c r="AZ108">
        <v>0</v>
      </c>
      <c r="BA108">
        <v>100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Y108*Source!I57</f>
        <v>40.661999999999999</v>
      </c>
      <c r="CY108">
        <f>AD108</f>
        <v>52.35</v>
      </c>
      <c r="CZ108">
        <f>AH108</f>
        <v>8.74</v>
      </c>
      <c r="DA108">
        <f>AL108</f>
        <v>5.99</v>
      </c>
      <c r="DB108">
        <v>0</v>
      </c>
    </row>
    <row r="109" spans="1:106" x14ac:dyDescent="0.2">
      <c r="A109">
        <f>ROW(Source!A57)</f>
        <v>57</v>
      </c>
      <c r="B109">
        <v>16481627</v>
      </c>
      <c r="C109">
        <v>16481829</v>
      </c>
      <c r="D109">
        <v>15247878</v>
      </c>
      <c r="E109">
        <v>1</v>
      </c>
      <c r="F109">
        <v>1</v>
      </c>
      <c r="G109">
        <v>1</v>
      </c>
      <c r="H109">
        <v>2</v>
      </c>
      <c r="I109" t="s">
        <v>326</v>
      </c>
      <c r="J109" t="s">
        <v>327</v>
      </c>
      <c r="K109" t="s">
        <v>328</v>
      </c>
      <c r="L109">
        <v>1368</v>
      </c>
      <c r="N109">
        <v>1011</v>
      </c>
      <c r="O109" t="s">
        <v>260</v>
      </c>
      <c r="P109" t="s">
        <v>260</v>
      </c>
      <c r="Q109">
        <v>1</v>
      </c>
      <c r="W109">
        <v>0</v>
      </c>
      <c r="X109">
        <v>1047452784</v>
      </c>
      <c r="Y109">
        <v>0.71</v>
      </c>
      <c r="AA109">
        <v>0</v>
      </c>
      <c r="AB109">
        <v>10.18</v>
      </c>
      <c r="AC109">
        <v>0</v>
      </c>
      <c r="AD109">
        <v>0</v>
      </c>
      <c r="AE109">
        <v>0</v>
      </c>
      <c r="AF109">
        <v>1.7</v>
      </c>
      <c r="AG109">
        <v>0</v>
      </c>
      <c r="AH109">
        <v>0</v>
      </c>
      <c r="AI109">
        <v>1</v>
      </c>
      <c r="AJ109">
        <v>5.99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0.71</v>
      </c>
      <c r="AU109" t="s">
        <v>6</v>
      </c>
      <c r="AV109">
        <v>0</v>
      </c>
      <c r="AW109">
        <v>2</v>
      </c>
      <c r="AX109">
        <v>16481836</v>
      </c>
      <c r="AY109">
        <v>1</v>
      </c>
      <c r="AZ109">
        <v>0</v>
      </c>
      <c r="BA109">
        <v>101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Y109*Source!I57</f>
        <v>0.15336</v>
      </c>
      <c r="CY109">
        <f>AB109</f>
        <v>10.18</v>
      </c>
      <c r="CZ109">
        <f>AF109</f>
        <v>1.7</v>
      </c>
      <c r="DA109">
        <f>AJ109</f>
        <v>5.99</v>
      </c>
      <c r="DB109">
        <v>0</v>
      </c>
    </row>
    <row r="110" spans="1:106" x14ac:dyDescent="0.2">
      <c r="A110">
        <f>ROW(Source!A57)</f>
        <v>57</v>
      </c>
      <c r="B110">
        <v>16481627</v>
      </c>
      <c r="C110">
        <v>16481829</v>
      </c>
      <c r="D110">
        <v>15167286</v>
      </c>
      <c r="E110">
        <v>1</v>
      </c>
      <c r="F110">
        <v>1</v>
      </c>
      <c r="G110">
        <v>1</v>
      </c>
      <c r="H110">
        <v>3</v>
      </c>
      <c r="I110" t="s">
        <v>298</v>
      </c>
      <c r="J110" t="s">
        <v>299</v>
      </c>
      <c r="K110" t="s">
        <v>300</v>
      </c>
      <c r="L110">
        <v>1339</v>
      </c>
      <c r="N110">
        <v>1007</v>
      </c>
      <c r="O110" t="s">
        <v>301</v>
      </c>
      <c r="P110" t="s">
        <v>301</v>
      </c>
      <c r="Q110">
        <v>1</v>
      </c>
      <c r="W110">
        <v>0</v>
      </c>
      <c r="X110">
        <v>-1660354250</v>
      </c>
      <c r="Y110">
        <v>0.35</v>
      </c>
      <c r="AA110">
        <v>14.62</v>
      </c>
      <c r="AB110">
        <v>0</v>
      </c>
      <c r="AC110">
        <v>0</v>
      </c>
      <c r="AD110">
        <v>0</v>
      </c>
      <c r="AE110">
        <v>2.44</v>
      </c>
      <c r="AF110">
        <v>0</v>
      </c>
      <c r="AG110">
        <v>0</v>
      </c>
      <c r="AH110">
        <v>0</v>
      </c>
      <c r="AI110">
        <v>5.99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0.35</v>
      </c>
      <c r="AU110" t="s">
        <v>6</v>
      </c>
      <c r="AV110">
        <v>0</v>
      </c>
      <c r="AW110">
        <v>2</v>
      </c>
      <c r="AX110">
        <v>16481837</v>
      </c>
      <c r="AY110">
        <v>1</v>
      </c>
      <c r="AZ110">
        <v>0</v>
      </c>
      <c r="BA110">
        <v>102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Y110*Source!I57</f>
        <v>7.5600000000000001E-2</v>
      </c>
      <c r="CY110">
        <f>AA110</f>
        <v>14.62</v>
      </c>
      <c r="CZ110">
        <f>AE110</f>
        <v>2.44</v>
      </c>
      <c r="DA110">
        <f>AI110</f>
        <v>5.99</v>
      </c>
      <c r="DB110">
        <v>0</v>
      </c>
    </row>
    <row r="111" spans="1:106" x14ac:dyDescent="0.2">
      <c r="A111">
        <f>ROW(Source!A57)</f>
        <v>57</v>
      </c>
      <c r="B111">
        <v>16481627</v>
      </c>
      <c r="C111">
        <v>16481829</v>
      </c>
      <c r="D111">
        <v>15164566</v>
      </c>
      <c r="E111">
        <v>17</v>
      </c>
      <c r="F111">
        <v>1</v>
      </c>
      <c r="G111">
        <v>1</v>
      </c>
      <c r="H111">
        <v>3</v>
      </c>
      <c r="I111" t="s">
        <v>55</v>
      </c>
      <c r="J111" t="s">
        <v>6</v>
      </c>
      <c r="K111" t="s">
        <v>56</v>
      </c>
      <c r="L111">
        <v>1348</v>
      </c>
      <c r="N111">
        <v>1009</v>
      </c>
      <c r="O111" t="s">
        <v>57</v>
      </c>
      <c r="P111" t="s">
        <v>57</v>
      </c>
      <c r="Q111">
        <v>1000</v>
      </c>
      <c r="W111">
        <v>0</v>
      </c>
      <c r="X111">
        <v>-179832266</v>
      </c>
      <c r="Y111">
        <v>4.84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5.99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6</v>
      </c>
      <c r="AT111">
        <v>4.84</v>
      </c>
      <c r="AU111" t="s">
        <v>6</v>
      </c>
      <c r="AV111">
        <v>0</v>
      </c>
      <c r="AW111">
        <v>2</v>
      </c>
      <c r="AX111">
        <v>16481838</v>
      </c>
      <c r="AY111">
        <v>1</v>
      </c>
      <c r="AZ111">
        <v>0</v>
      </c>
      <c r="BA111">
        <v>103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Y111*Source!I57</f>
        <v>1.0454399999999999</v>
      </c>
      <c r="CY111">
        <f>AA111</f>
        <v>0</v>
      </c>
      <c r="CZ111">
        <f>AE111</f>
        <v>0</v>
      </c>
      <c r="DA111">
        <f>AI111</f>
        <v>5.99</v>
      </c>
      <c r="DB111">
        <v>0</v>
      </c>
    </row>
    <row r="112" spans="1:106" x14ac:dyDescent="0.2">
      <c r="A112">
        <f>ROW(Source!A57)</f>
        <v>57</v>
      </c>
      <c r="B112">
        <v>16481627</v>
      </c>
      <c r="C112">
        <v>16481829</v>
      </c>
      <c r="D112">
        <v>15172875</v>
      </c>
      <c r="E112">
        <v>1</v>
      </c>
      <c r="F112">
        <v>1</v>
      </c>
      <c r="G112">
        <v>1</v>
      </c>
      <c r="H112">
        <v>3</v>
      </c>
      <c r="I112" t="s">
        <v>302</v>
      </c>
      <c r="J112" t="s">
        <v>303</v>
      </c>
      <c r="K112" t="s">
        <v>304</v>
      </c>
      <c r="L112">
        <v>1339</v>
      </c>
      <c r="N112">
        <v>1007</v>
      </c>
      <c r="O112" t="s">
        <v>301</v>
      </c>
      <c r="P112" t="s">
        <v>301</v>
      </c>
      <c r="Q112">
        <v>1</v>
      </c>
      <c r="W112">
        <v>0</v>
      </c>
      <c r="X112">
        <v>-1001479081</v>
      </c>
      <c r="Y112">
        <v>2.2000000000000002</v>
      </c>
      <c r="AA112">
        <v>3102.28</v>
      </c>
      <c r="AB112">
        <v>0</v>
      </c>
      <c r="AC112">
        <v>0</v>
      </c>
      <c r="AD112">
        <v>0</v>
      </c>
      <c r="AE112">
        <v>517.91</v>
      </c>
      <c r="AF112">
        <v>0</v>
      </c>
      <c r="AG112">
        <v>0</v>
      </c>
      <c r="AH112">
        <v>0</v>
      </c>
      <c r="AI112">
        <v>5.99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2.2000000000000002</v>
      </c>
      <c r="AU112" t="s">
        <v>6</v>
      </c>
      <c r="AV112">
        <v>0</v>
      </c>
      <c r="AW112">
        <v>2</v>
      </c>
      <c r="AX112">
        <v>16481839</v>
      </c>
      <c r="AY112">
        <v>1</v>
      </c>
      <c r="AZ112">
        <v>0</v>
      </c>
      <c r="BA112">
        <v>104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Y112*Source!I57</f>
        <v>0.47520000000000001</v>
      </c>
      <c r="CY112">
        <f>AA112</f>
        <v>3102.28</v>
      </c>
      <c r="CZ112">
        <f>AE112</f>
        <v>517.91</v>
      </c>
      <c r="DA112">
        <f>AI112</f>
        <v>5.99</v>
      </c>
      <c r="DB112">
        <v>0</v>
      </c>
    </row>
    <row r="113" spans="1:106" x14ac:dyDescent="0.2">
      <c r="A113">
        <f>ROW(Source!A60)</f>
        <v>60</v>
      </c>
      <c r="B113">
        <v>16481626</v>
      </c>
      <c r="C113">
        <v>16481841</v>
      </c>
      <c r="D113">
        <v>15430447</v>
      </c>
      <c r="E113">
        <v>1</v>
      </c>
      <c r="F113">
        <v>1</v>
      </c>
      <c r="G113">
        <v>1</v>
      </c>
      <c r="H113">
        <v>1</v>
      </c>
      <c r="I113" t="s">
        <v>329</v>
      </c>
      <c r="J113" t="s">
        <v>6</v>
      </c>
      <c r="K113" t="s">
        <v>330</v>
      </c>
      <c r="L113">
        <v>1191</v>
      </c>
      <c r="N113">
        <v>1013</v>
      </c>
      <c r="O113" t="s">
        <v>254</v>
      </c>
      <c r="P113" t="s">
        <v>254</v>
      </c>
      <c r="Q113">
        <v>1</v>
      </c>
      <c r="W113">
        <v>0</v>
      </c>
      <c r="X113">
        <v>145020957</v>
      </c>
      <c r="Y113">
        <v>14.39</v>
      </c>
      <c r="AA113">
        <v>0</v>
      </c>
      <c r="AB113">
        <v>0</v>
      </c>
      <c r="AC113">
        <v>0</v>
      </c>
      <c r="AD113">
        <v>9.07</v>
      </c>
      <c r="AE113">
        <v>0</v>
      </c>
      <c r="AF113">
        <v>0</v>
      </c>
      <c r="AG113">
        <v>0</v>
      </c>
      <c r="AH113">
        <v>9.07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14.39</v>
      </c>
      <c r="AU113" t="s">
        <v>6</v>
      </c>
      <c r="AV113">
        <v>1</v>
      </c>
      <c r="AW113">
        <v>2</v>
      </c>
      <c r="AX113">
        <v>16481853</v>
      </c>
      <c r="AY113">
        <v>1</v>
      </c>
      <c r="AZ113">
        <v>0</v>
      </c>
      <c r="BA113">
        <v>105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Y113*Source!I60</f>
        <v>3.1082399999999999</v>
      </c>
      <c r="CY113">
        <f>AD113</f>
        <v>9.07</v>
      </c>
      <c r="CZ113">
        <f>AH113</f>
        <v>9.07</v>
      </c>
      <c r="DA113">
        <f>AL113</f>
        <v>1</v>
      </c>
      <c r="DB113">
        <v>0</v>
      </c>
    </row>
    <row r="114" spans="1:106" x14ac:dyDescent="0.2">
      <c r="A114">
        <f>ROW(Source!A60)</f>
        <v>60</v>
      </c>
      <c r="B114">
        <v>16481626</v>
      </c>
      <c r="C114">
        <v>16481841</v>
      </c>
      <c r="D114">
        <v>15430395</v>
      </c>
      <c r="E114">
        <v>1</v>
      </c>
      <c r="F114">
        <v>1</v>
      </c>
      <c r="G114">
        <v>1</v>
      </c>
      <c r="H114">
        <v>1</v>
      </c>
      <c r="I114" t="s">
        <v>255</v>
      </c>
      <c r="J114" t="s">
        <v>6</v>
      </c>
      <c r="K114" t="s">
        <v>256</v>
      </c>
      <c r="L114">
        <v>1191</v>
      </c>
      <c r="N114">
        <v>1013</v>
      </c>
      <c r="O114" t="s">
        <v>254</v>
      </c>
      <c r="P114" t="s">
        <v>254</v>
      </c>
      <c r="Q114">
        <v>1</v>
      </c>
      <c r="W114">
        <v>0</v>
      </c>
      <c r="X114">
        <v>-1417349443</v>
      </c>
      <c r="Y114">
        <v>0.12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0.12</v>
      </c>
      <c r="AU114" t="s">
        <v>6</v>
      </c>
      <c r="AV114">
        <v>2</v>
      </c>
      <c r="AW114">
        <v>2</v>
      </c>
      <c r="AX114">
        <v>16481854</v>
      </c>
      <c r="AY114">
        <v>1</v>
      </c>
      <c r="AZ114">
        <v>0</v>
      </c>
      <c r="BA114">
        <v>106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Y114*Source!I60</f>
        <v>2.5919999999999999E-2</v>
      </c>
      <c r="CY114">
        <f>AD114</f>
        <v>0</v>
      </c>
      <c r="CZ114">
        <f>AH114</f>
        <v>0</v>
      </c>
      <c r="DA114">
        <f>AL114</f>
        <v>1</v>
      </c>
      <c r="DB114">
        <v>0</v>
      </c>
    </row>
    <row r="115" spans="1:106" x14ac:dyDescent="0.2">
      <c r="A115">
        <f>ROW(Source!A60)</f>
        <v>60</v>
      </c>
      <c r="B115">
        <v>16481626</v>
      </c>
      <c r="C115">
        <v>16481841</v>
      </c>
      <c r="D115">
        <v>15247878</v>
      </c>
      <c r="E115">
        <v>1</v>
      </c>
      <c r="F115">
        <v>1</v>
      </c>
      <c r="G115">
        <v>1</v>
      </c>
      <c r="H115">
        <v>2</v>
      </c>
      <c r="I115" t="s">
        <v>326</v>
      </c>
      <c r="J115" t="s">
        <v>327</v>
      </c>
      <c r="K115" t="s">
        <v>328</v>
      </c>
      <c r="L115">
        <v>1368</v>
      </c>
      <c r="N115">
        <v>1011</v>
      </c>
      <c r="O115" t="s">
        <v>260</v>
      </c>
      <c r="P115" t="s">
        <v>260</v>
      </c>
      <c r="Q115">
        <v>1</v>
      </c>
      <c r="W115">
        <v>0</v>
      </c>
      <c r="X115">
        <v>1047452784</v>
      </c>
      <c r="Y115">
        <v>0.24</v>
      </c>
      <c r="AA115">
        <v>0</v>
      </c>
      <c r="AB115">
        <v>1.7</v>
      </c>
      <c r="AC115">
        <v>0</v>
      </c>
      <c r="AD115">
        <v>0</v>
      </c>
      <c r="AE115">
        <v>0</v>
      </c>
      <c r="AF115">
        <v>1.7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0.24</v>
      </c>
      <c r="AU115" t="s">
        <v>6</v>
      </c>
      <c r="AV115">
        <v>0</v>
      </c>
      <c r="AW115">
        <v>2</v>
      </c>
      <c r="AX115">
        <v>16481855</v>
      </c>
      <c r="AY115">
        <v>1</v>
      </c>
      <c r="AZ115">
        <v>0</v>
      </c>
      <c r="BA115">
        <v>107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Y115*Source!I60</f>
        <v>5.1839999999999997E-2</v>
      </c>
      <c r="CY115">
        <f>AB115</f>
        <v>1.7</v>
      </c>
      <c r="CZ115">
        <f>AF115</f>
        <v>1.7</v>
      </c>
      <c r="DA115">
        <f>AJ115</f>
        <v>1</v>
      </c>
      <c r="DB115">
        <v>0</v>
      </c>
    </row>
    <row r="116" spans="1:106" x14ac:dyDescent="0.2">
      <c r="A116">
        <f>ROW(Source!A60)</f>
        <v>60</v>
      </c>
      <c r="B116">
        <v>16481626</v>
      </c>
      <c r="C116">
        <v>16481841</v>
      </c>
      <c r="D116">
        <v>15249073</v>
      </c>
      <c r="E116">
        <v>1</v>
      </c>
      <c r="F116">
        <v>1</v>
      </c>
      <c r="G116">
        <v>1</v>
      </c>
      <c r="H116">
        <v>2</v>
      </c>
      <c r="I116" t="s">
        <v>263</v>
      </c>
      <c r="J116" t="s">
        <v>264</v>
      </c>
      <c r="K116" t="s">
        <v>265</v>
      </c>
      <c r="L116">
        <v>1368</v>
      </c>
      <c r="N116">
        <v>1011</v>
      </c>
      <c r="O116" t="s">
        <v>260</v>
      </c>
      <c r="P116" t="s">
        <v>260</v>
      </c>
      <c r="Q116">
        <v>1</v>
      </c>
      <c r="W116">
        <v>0</v>
      </c>
      <c r="X116">
        <v>1372534845</v>
      </c>
      <c r="Y116">
        <v>0.12</v>
      </c>
      <c r="AA116">
        <v>0</v>
      </c>
      <c r="AB116">
        <v>65.709999999999994</v>
      </c>
      <c r="AC116">
        <v>11.6</v>
      </c>
      <c r="AD116">
        <v>0</v>
      </c>
      <c r="AE116">
        <v>0</v>
      </c>
      <c r="AF116">
        <v>65.709999999999994</v>
      </c>
      <c r="AG116">
        <v>11.6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0.12</v>
      </c>
      <c r="AU116" t="s">
        <v>6</v>
      </c>
      <c r="AV116">
        <v>0</v>
      </c>
      <c r="AW116">
        <v>2</v>
      </c>
      <c r="AX116">
        <v>16481856</v>
      </c>
      <c r="AY116">
        <v>1</v>
      </c>
      <c r="AZ116">
        <v>0</v>
      </c>
      <c r="BA116">
        <v>108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Y116*Source!I60</f>
        <v>2.5919999999999999E-2</v>
      </c>
      <c r="CY116">
        <f>AB116</f>
        <v>65.709999999999994</v>
      </c>
      <c r="CZ116">
        <f>AF116</f>
        <v>65.709999999999994</v>
      </c>
      <c r="DA116">
        <f>AJ116</f>
        <v>1</v>
      </c>
      <c r="DB116">
        <v>0</v>
      </c>
    </row>
    <row r="117" spans="1:106" x14ac:dyDescent="0.2">
      <c r="A117">
        <f>ROW(Source!A60)</f>
        <v>60</v>
      </c>
      <c r="B117">
        <v>16481626</v>
      </c>
      <c r="C117">
        <v>16481841</v>
      </c>
      <c r="D117">
        <v>15171018</v>
      </c>
      <c r="E117">
        <v>1</v>
      </c>
      <c r="F117">
        <v>1</v>
      </c>
      <c r="G117">
        <v>1</v>
      </c>
      <c r="H117">
        <v>3</v>
      </c>
      <c r="I117" t="s">
        <v>331</v>
      </c>
      <c r="J117" t="s">
        <v>332</v>
      </c>
      <c r="K117" t="s">
        <v>333</v>
      </c>
      <c r="L117">
        <v>1346</v>
      </c>
      <c r="N117">
        <v>1009</v>
      </c>
      <c r="O117" t="s">
        <v>322</v>
      </c>
      <c r="P117" t="s">
        <v>322</v>
      </c>
      <c r="Q117">
        <v>1</v>
      </c>
      <c r="W117">
        <v>0</v>
      </c>
      <c r="X117">
        <v>813963326</v>
      </c>
      <c r="Y117">
        <v>0.41</v>
      </c>
      <c r="AA117">
        <v>1.82</v>
      </c>
      <c r="AB117">
        <v>0</v>
      </c>
      <c r="AC117">
        <v>0</v>
      </c>
      <c r="AD117">
        <v>0</v>
      </c>
      <c r="AE117">
        <v>1.82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0.41</v>
      </c>
      <c r="AU117" t="s">
        <v>6</v>
      </c>
      <c r="AV117">
        <v>0</v>
      </c>
      <c r="AW117">
        <v>2</v>
      </c>
      <c r="AX117">
        <v>16481857</v>
      </c>
      <c r="AY117">
        <v>1</v>
      </c>
      <c r="AZ117">
        <v>0</v>
      </c>
      <c r="BA117">
        <v>109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Y117*Source!I60</f>
        <v>8.856E-2</v>
      </c>
      <c r="CY117">
        <f t="shared" ref="CY117:CY123" si="18">AA117</f>
        <v>1.82</v>
      </c>
      <c r="CZ117">
        <f t="shared" ref="CZ117:CZ123" si="19">AE117</f>
        <v>1.82</v>
      </c>
      <c r="DA117">
        <f t="shared" ref="DA117:DA123" si="20">AI117</f>
        <v>1</v>
      </c>
      <c r="DB117">
        <v>0</v>
      </c>
    </row>
    <row r="118" spans="1:106" x14ac:dyDescent="0.2">
      <c r="A118">
        <f>ROW(Source!A60)</f>
        <v>60</v>
      </c>
      <c r="B118">
        <v>16481626</v>
      </c>
      <c r="C118">
        <v>16481841</v>
      </c>
      <c r="D118">
        <v>15171907</v>
      </c>
      <c r="E118">
        <v>1</v>
      </c>
      <c r="F118">
        <v>1</v>
      </c>
      <c r="G118">
        <v>1</v>
      </c>
      <c r="H118">
        <v>3</v>
      </c>
      <c r="I118" t="s">
        <v>316</v>
      </c>
      <c r="J118" t="s">
        <v>317</v>
      </c>
      <c r="K118" t="s">
        <v>318</v>
      </c>
      <c r="L118">
        <v>1339</v>
      </c>
      <c r="N118">
        <v>1007</v>
      </c>
      <c r="O118" t="s">
        <v>301</v>
      </c>
      <c r="P118" t="s">
        <v>301</v>
      </c>
      <c r="Q118">
        <v>1</v>
      </c>
      <c r="W118">
        <v>0</v>
      </c>
      <c r="X118">
        <v>1795918813</v>
      </c>
      <c r="Y118">
        <v>4.7000000000000002E-3</v>
      </c>
      <c r="AA118">
        <v>74.58</v>
      </c>
      <c r="AB118">
        <v>0</v>
      </c>
      <c r="AC118">
        <v>0</v>
      </c>
      <c r="AD118">
        <v>0</v>
      </c>
      <c r="AE118">
        <v>74.58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4.7000000000000002E-3</v>
      </c>
      <c r="AU118" t="s">
        <v>6</v>
      </c>
      <c r="AV118">
        <v>0</v>
      </c>
      <c r="AW118">
        <v>2</v>
      </c>
      <c r="AX118">
        <v>16481858</v>
      </c>
      <c r="AY118">
        <v>1</v>
      </c>
      <c r="AZ118">
        <v>0</v>
      </c>
      <c r="BA118">
        <v>110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Y118*Source!I60</f>
        <v>1.0152E-3</v>
      </c>
      <c r="CY118">
        <f t="shared" si="18"/>
        <v>74.58</v>
      </c>
      <c r="CZ118">
        <f t="shared" si="19"/>
        <v>74.58</v>
      </c>
      <c r="DA118">
        <f t="shared" si="20"/>
        <v>1</v>
      </c>
      <c r="DB118">
        <v>0</v>
      </c>
    </row>
    <row r="119" spans="1:106" x14ac:dyDescent="0.2">
      <c r="A119">
        <f>ROW(Source!A60)</f>
        <v>60</v>
      </c>
      <c r="B119">
        <v>16481626</v>
      </c>
      <c r="C119">
        <v>16481841</v>
      </c>
      <c r="D119">
        <v>15203663</v>
      </c>
      <c r="E119">
        <v>1</v>
      </c>
      <c r="F119">
        <v>1</v>
      </c>
      <c r="G119">
        <v>1</v>
      </c>
      <c r="H119">
        <v>3</v>
      </c>
      <c r="I119" t="s">
        <v>334</v>
      </c>
      <c r="J119" t="s">
        <v>335</v>
      </c>
      <c r="K119" t="s">
        <v>336</v>
      </c>
      <c r="L119">
        <v>1348</v>
      </c>
      <c r="N119">
        <v>1009</v>
      </c>
      <c r="O119" t="s">
        <v>57</v>
      </c>
      <c r="P119" t="s">
        <v>57</v>
      </c>
      <c r="Q119">
        <v>1000</v>
      </c>
      <c r="W119">
        <v>0</v>
      </c>
      <c r="X119">
        <v>344500605</v>
      </c>
      <c r="Y119">
        <v>1.4999999999999999E-2</v>
      </c>
      <c r="AA119">
        <v>18362</v>
      </c>
      <c r="AB119">
        <v>0</v>
      </c>
      <c r="AC119">
        <v>0</v>
      </c>
      <c r="AD119">
        <v>0</v>
      </c>
      <c r="AE119">
        <v>18362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1.4999999999999999E-2</v>
      </c>
      <c r="AU119" t="s">
        <v>6</v>
      </c>
      <c r="AV119">
        <v>0</v>
      </c>
      <c r="AW119">
        <v>2</v>
      </c>
      <c r="AX119">
        <v>16481859</v>
      </c>
      <c r="AY119">
        <v>1</v>
      </c>
      <c r="AZ119">
        <v>0</v>
      </c>
      <c r="BA119">
        <v>111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Y119*Source!I60</f>
        <v>3.2399999999999998E-3</v>
      </c>
      <c r="CY119">
        <f t="shared" si="18"/>
        <v>18362</v>
      </c>
      <c r="CZ119">
        <f t="shared" si="19"/>
        <v>18362</v>
      </c>
      <c r="DA119">
        <f t="shared" si="20"/>
        <v>1</v>
      </c>
      <c r="DB119">
        <v>0</v>
      </c>
    </row>
    <row r="120" spans="1:106" x14ac:dyDescent="0.2">
      <c r="A120">
        <f>ROW(Source!A60)</f>
        <v>60</v>
      </c>
      <c r="B120">
        <v>16481626</v>
      </c>
      <c r="C120">
        <v>16481841</v>
      </c>
      <c r="D120">
        <v>15163065</v>
      </c>
      <c r="E120">
        <v>17</v>
      </c>
      <c r="F120">
        <v>1</v>
      </c>
      <c r="G120">
        <v>1</v>
      </c>
      <c r="H120">
        <v>3</v>
      </c>
      <c r="I120" t="s">
        <v>102</v>
      </c>
      <c r="J120" t="s">
        <v>6</v>
      </c>
      <c r="K120" t="s">
        <v>103</v>
      </c>
      <c r="L120">
        <v>1348</v>
      </c>
      <c r="N120">
        <v>1009</v>
      </c>
      <c r="O120" t="s">
        <v>57</v>
      </c>
      <c r="P120" t="s">
        <v>57</v>
      </c>
      <c r="Q120">
        <v>1000</v>
      </c>
      <c r="W120">
        <v>0</v>
      </c>
      <c r="X120">
        <v>1182840811</v>
      </c>
      <c r="Y120">
        <v>5.8999999999999997E-2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6</v>
      </c>
      <c r="AT120">
        <v>5.8999999999999997E-2</v>
      </c>
      <c r="AU120" t="s">
        <v>6</v>
      </c>
      <c r="AV120">
        <v>0</v>
      </c>
      <c r="AW120">
        <v>2</v>
      </c>
      <c r="AX120">
        <v>16481860</v>
      </c>
      <c r="AY120">
        <v>1</v>
      </c>
      <c r="AZ120">
        <v>0</v>
      </c>
      <c r="BA120">
        <v>112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Y120*Source!I60</f>
        <v>1.2743999999999998E-2</v>
      </c>
      <c r="CY120">
        <f t="shared" si="18"/>
        <v>0</v>
      </c>
      <c r="CZ120">
        <f t="shared" si="19"/>
        <v>0</v>
      </c>
      <c r="DA120">
        <f t="shared" si="20"/>
        <v>1</v>
      </c>
      <c r="DB120">
        <v>0</v>
      </c>
    </row>
    <row r="121" spans="1:106" x14ac:dyDescent="0.2">
      <c r="A121">
        <f>ROW(Source!A60)</f>
        <v>60</v>
      </c>
      <c r="B121">
        <v>16481626</v>
      </c>
      <c r="C121">
        <v>16481841</v>
      </c>
      <c r="D121">
        <v>15203823</v>
      </c>
      <c r="E121">
        <v>1</v>
      </c>
      <c r="F121">
        <v>1</v>
      </c>
      <c r="G121">
        <v>1</v>
      </c>
      <c r="H121">
        <v>3</v>
      </c>
      <c r="I121" t="s">
        <v>105</v>
      </c>
      <c r="J121" t="s">
        <v>107</v>
      </c>
      <c r="K121" t="s">
        <v>106</v>
      </c>
      <c r="L121">
        <v>1348</v>
      </c>
      <c r="N121">
        <v>1009</v>
      </c>
      <c r="O121" t="s">
        <v>57</v>
      </c>
      <c r="P121" t="s">
        <v>57</v>
      </c>
      <c r="Q121">
        <v>1000</v>
      </c>
      <c r="W121">
        <v>0</v>
      </c>
      <c r="X121">
        <v>2085149391</v>
      </c>
      <c r="Y121">
        <v>5.9005000000000002E-2</v>
      </c>
      <c r="AA121">
        <v>15989</v>
      </c>
      <c r="AB121">
        <v>0</v>
      </c>
      <c r="AC121">
        <v>0</v>
      </c>
      <c r="AD121">
        <v>0</v>
      </c>
      <c r="AE121">
        <v>15989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6</v>
      </c>
      <c r="AT121">
        <v>5.9005000000000002E-2</v>
      </c>
      <c r="AU121" t="s">
        <v>6</v>
      </c>
      <c r="AV121">
        <v>0</v>
      </c>
      <c r="AW121">
        <v>1</v>
      </c>
      <c r="AX121">
        <v>-1</v>
      </c>
      <c r="AY121">
        <v>0</v>
      </c>
      <c r="AZ121">
        <v>0</v>
      </c>
      <c r="BA121" t="s">
        <v>6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Y121*Source!I60</f>
        <v>1.2745080000000001E-2</v>
      </c>
      <c r="CY121">
        <f t="shared" si="18"/>
        <v>15989</v>
      </c>
      <c r="CZ121">
        <f t="shared" si="19"/>
        <v>15989</v>
      </c>
      <c r="DA121">
        <f t="shared" si="20"/>
        <v>1</v>
      </c>
      <c r="DB121">
        <v>0</v>
      </c>
    </row>
    <row r="122" spans="1:106" x14ac:dyDescent="0.2">
      <c r="A122">
        <f>ROW(Source!A60)</f>
        <v>60</v>
      </c>
      <c r="B122">
        <v>16481626</v>
      </c>
      <c r="C122">
        <v>16481841</v>
      </c>
      <c r="D122">
        <v>15204703</v>
      </c>
      <c r="E122">
        <v>1</v>
      </c>
      <c r="F122">
        <v>1</v>
      </c>
      <c r="G122">
        <v>1</v>
      </c>
      <c r="H122">
        <v>3</v>
      </c>
      <c r="I122" t="s">
        <v>337</v>
      </c>
      <c r="J122" t="s">
        <v>338</v>
      </c>
      <c r="K122" t="s">
        <v>339</v>
      </c>
      <c r="L122">
        <v>1348</v>
      </c>
      <c r="N122">
        <v>1009</v>
      </c>
      <c r="O122" t="s">
        <v>57</v>
      </c>
      <c r="P122" t="s">
        <v>57</v>
      </c>
      <c r="Q122">
        <v>1000</v>
      </c>
      <c r="W122">
        <v>0</v>
      </c>
      <c r="X122">
        <v>-2124557522</v>
      </c>
      <c r="Y122">
        <v>0.01</v>
      </c>
      <c r="AA122">
        <v>6667</v>
      </c>
      <c r="AB122">
        <v>0</v>
      </c>
      <c r="AC122">
        <v>0</v>
      </c>
      <c r="AD122">
        <v>0</v>
      </c>
      <c r="AE122">
        <v>6667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0.01</v>
      </c>
      <c r="AU122" t="s">
        <v>6</v>
      </c>
      <c r="AV122">
        <v>0</v>
      </c>
      <c r="AW122">
        <v>2</v>
      </c>
      <c r="AX122">
        <v>16481861</v>
      </c>
      <c r="AY122">
        <v>1</v>
      </c>
      <c r="AZ122">
        <v>0</v>
      </c>
      <c r="BA122">
        <v>113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Y122*Source!I60</f>
        <v>2.16E-3</v>
      </c>
      <c r="CY122">
        <f t="shared" si="18"/>
        <v>6667</v>
      </c>
      <c r="CZ122">
        <f t="shared" si="19"/>
        <v>6667</v>
      </c>
      <c r="DA122">
        <f t="shared" si="20"/>
        <v>1</v>
      </c>
      <c r="DB122">
        <v>0</v>
      </c>
    </row>
    <row r="123" spans="1:106" x14ac:dyDescent="0.2">
      <c r="A123">
        <f>ROW(Source!A60)</f>
        <v>60</v>
      </c>
      <c r="B123">
        <v>16481626</v>
      </c>
      <c r="C123">
        <v>16481841</v>
      </c>
      <c r="D123">
        <v>15204788</v>
      </c>
      <c r="E123">
        <v>1</v>
      </c>
      <c r="F123">
        <v>1</v>
      </c>
      <c r="G123">
        <v>1</v>
      </c>
      <c r="H123">
        <v>3</v>
      </c>
      <c r="I123" t="s">
        <v>340</v>
      </c>
      <c r="J123" t="s">
        <v>341</v>
      </c>
      <c r="K123" t="s">
        <v>342</v>
      </c>
      <c r="L123">
        <v>1348</v>
      </c>
      <c r="N123">
        <v>1009</v>
      </c>
      <c r="O123" t="s">
        <v>57</v>
      </c>
      <c r="P123" t="s">
        <v>57</v>
      </c>
      <c r="Q123">
        <v>1000</v>
      </c>
      <c r="W123">
        <v>0</v>
      </c>
      <c r="X123">
        <v>-251271162</v>
      </c>
      <c r="Y123">
        <v>1.2E-2</v>
      </c>
      <c r="AA123">
        <v>16950</v>
      </c>
      <c r="AB123">
        <v>0</v>
      </c>
      <c r="AC123">
        <v>0</v>
      </c>
      <c r="AD123">
        <v>0</v>
      </c>
      <c r="AE123">
        <v>16950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1.2E-2</v>
      </c>
      <c r="AU123" t="s">
        <v>6</v>
      </c>
      <c r="AV123">
        <v>0</v>
      </c>
      <c r="AW123">
        <v>2</v>
      </c>
      <c r="AX123">
        <v>16481862</v>
      </c>
      <c r="AY123">
        <v>1</v>
      </c>
      <c r="AZ123">
        <v>0</v>
      </c>
      <c r="BA123">
        <v>114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Y123*Source!I60</f>
        <v>2.5920000000000001E-3</v>
      </c>
      <c r="CY123">
        <f t="shared" si="18"/>
        <v>16950</v>
      </c>
      <c r="CZ123">
        <f t="shared" si="19"/>
        <v>16950</v>
      </c>
      <c r="DA123">
        <f t="shared" si="20"/>
        <v>1</v>
      </c>
      <c r="DB123">
        <v>0</v>
      </c>
    </row>
    <row r="124" spans="1:106" x14ac:dyDescent="0.2">
      <c r="A124">
        <f>ROW(Source!A61)</f>
        <v>61</v>
      </c>
      <c r="B124">
        <v>16481627</v>
      </c>
      <c r="C124">
        <v>16481841</v>
      </c>
      <c r="D124">
        <v>15430447</v>
      </c>
      <c r="E124">
        <v>1</v>
      </c>
      <c r="F124">
        <v>1</v>
      </c>
      <c r="G124">
        <v>1</v>
      </c>
      <c r="H124">
        <v>1</v>
      </c>
      <c r="I124" t="s">
        <v>329</v>
      </c>
      <c r="J124" t="s">
        <v>6</v>
      </c>
      <c r="K124" t="s">
        <v>330</v>
      </c>
      <c r="L124">
        <v>1191</v>
      </c>
      <c r="N124">
        <v>1013</v>
      </c>
      <c r="O124" t="s">
        <v>254</v>
      </c>
      <c r="P124" t="s">
        <v>254</v>
      </c>
      <c r="Q124">
        <v>1</v>
      </c>
      <c r="W124">
        <v>0</v>
      </c>
      <c r="X124">
        <v>145020957</v>
      </c>
      <c r="Y124">
        <v>14.39</v>
      </c>
      <c r="AA124">
        <v>0</v>
      </c>
      <c r="AB124">
        <v>0</v>
      </c>
      <c r="AC124">
        <v>0</v>
      </c>
      <c r="AD124">
        <v>54.33</v>
      </c>
      <c r="AE124">
        <v>0</v>
      </c>
      <c r="AF124">
        <v>0</v>
      </c>
      <c r="AG124">
        <v>0</v>
      </c>
      <c r="AH124">
        <v>9.07</v>
      </c>
      <c r="AI124">
        <v>1</v>
      </c>
      <c r="AJ124">
        <v>1</v>
      </c>
      <c r="AK124">
        <v>1</v>
      </c>
      <c r="AL124">
        <v>5.99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14.39</v>
      </c>
      <c r="AU124" t="s">
        <v>6</v>
      </c>
      <c r="AV124">
        <v>1</v>
      </c>
      <c r="AW124">
        <v>2</v>
      </c>
      <c r="AX124">
        <v>16481853</v>
      </c>
      <c r="AY124">
        <v>1</v>
      </c>
      <c r="AZ124">
        <v>0</v>
      </c>
      <c r="BA124">
        <v>115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Y124*Source!I61</f>
        <v>3.1082399999999999</v>
      </c>
      <c r="CY124">
        <f>AD124</f>
        <v>54.33</v>
      </c>
      <c r="CZ124">
        <f>AH124</f>
        <v>9.07</v>
      </c>
      <c r="DA124">
        <f>AL124</f>
        <v>5.99</v>
      </c>
      <c r="DB124">
        <v>0</v>
      </c>
    </row>
    <row r="125" spans="1:106" x14ac:dyDescent="0.2">
      <c r="A125">
        <f>ROW(Source!A61)</f>
        <v>61</v>
      </c>
      <c r="B125">
        <v>16481627</v>
      </c>
      <c r="C125">
        <v>16481841</v>
      </c>
      <c r="D125">
        <v>15430395</v>
      </c>
      <c r="E125">
        <v>1</v>
      </c>
      <c r="F125">
        <v>1</v>
      </c>
      <c r="G125">
        <v>1</v>
      </c>
      <c r="H125">
        <v>1</v>
      </c>
      <c r="I125" t="s">
        <v>255</v>
      </c>
      <c r="J125" t="s">
        <v>6</v>
      </c>
      <c r="K125" t="s">
        <v>256</v>
      </c>
      <c r="L125">
        <v>1191</v>
      </c>
      <c r="N125">
        <v>1013</v>
      </c>
      <c r="O125" t="s">
        <v>254</v>
      </c>
      <c r="P125" t="s">
        <v>254</v>
      </c>
      <c r="Q125">
        <v>1</v>
      </c>
      <c r="W125">
        <v>0</v>
      </c>
      <c r="X125">
        <v>-1417349443</v>
      </c>
      <c r="Y125">
        <v>0.12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5.99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0.12</v>
      </c>
      <c r="AU125" t="s">
        <v>6</v>
      </c>
      <c r="AV125">
        <v>2</v>
      </c>
      <c r="AW125">
        <v>2</v>
      </c>
      <c r="AX125">
        <v>16481854</v>
      </c>
      <c r="AY125">
        <v>1</v>
      </c>
      <c r="AZ125">
        <v>0</v>
      </c>
      <c r="BA125">
        <v>116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Y125*Source!I61</f>
        <v>2.5919999999999999E-2</v>
      </c>
      <c r="CY125">
        <f>AD125</f>
        <v>0</v>
      </c>
      <c r="CZ125">
        <f>AH125</f>
        <v>0</v>
      </c>
      <c r="DA125">
        <f>AL125</f>
        <v>1</v>
      </c>
      <c r="DB125">
        <v>0</v>
      </c>
    </row>
    <row r="126" spans="1:106" x14ac:dyDescent="0.2">
      <c r="A126">
        <f>ROW(Source!A61)</f>
        <v>61</v>
      </c>
      <c r="B126">
        <v>16481627</v>
      </c>
      <c r="C126">
        <v>16481841</v>
      </c>
      <c r="D126">
        <v>15247878</v>
      </c>
      <c r="E126">
        <v>1</v>
      </c>
      <c r="F126">
        <v>1</v>
      </c>
      <c r="G126">
        <v>1</v>
      </c>
      <c r="H126">
        <v>2</v>
      </c>
      <c r="I126" t="s">
        <v>326</v>
      </c>
      <c r="J126" t="s">
        <v>327</v>
      </c>
      <c r="K126" t="s">
        <v>328</v>
      </c>
      <c r="L126">
        <v>1368</v>
      </c>
      <c r="N126">
        <v>1011</v>
      </c>
      <c r="O126" t="s">
        <v>260</v>
      </c>
      <c r="P126" t="s">
        <v>260</v>
      </c>
      <c r="Q126">
        <v>1</v>
      </c>
      <c r="W126">
        <v>0</v>
      </c>
      <c r="X126">
        <v>1047452784</v>
      </c>
      <c r="Y126">
        <v>0.24</v>
      </c>
      <c r="AA126">
        <v>0</v>
      </c>
      <c r="AB126">
        <v>10.18</v>
      </c>
      <c r="AC126">
        <v>0</v>
      </c>
      <c r="AD126">
        <v>0</v>
      </c>
      <c r="AE126">
        <v>0</v>
      </c>
      <c r="AF126">
        <v>1.7</v>
      </c>
      <c r="AG126">
        <v>0</v>
      </c>
      <c r="AH126">
        <v>0</v>
      </c>
      <c r="AI126">
        <v>1</v>
      </c>
      <c r="AJ126">
        <v>5.99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0.24</v>
      </c>
      <c r="AU126" t="s">
        <v>6</v>
      </c>
      <c r="AV126">
        <v>0</v>
      </c>
      <c r="AW126">
        <v>2</v>
      </c>
      <c r="AX126">
        <v>16481855</v>
      </c>
      <c r="AY126">
        <v>1</v>
      </c>
      <c r="AZ126">
        <v>0</v>
      </c>
      <c r="BA126">
        <v>117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Y126*Source!I61</f>
        <v>5.1839999999999997E-2</v>
      </c>
      <c r="CY126">
        <f>AB126</f>
        <v>10.18</v>
      </c>
      <c r="CZ126">
        <f>AF126</f>
        <v>1.7</v>
      </c>
      <c r="DA126">
        <f>AJ126</f>
        <v>5.99</v>
      </c>
      <c r="DB126">
        <v>0</v>
      </c>
    </row>
    <row r="127" spans="1:106" x14ac:dyDescent="0.2">
      <c r="A127">
        <f>ROW(Source!A61)</f>
        <v>61</v>
      </c>
      <c r="B127">
        <v>16481627</v>
      </c>
      <c r="C127">
        <v>16481841</v>
      </c>
      <c r="D127">
        <v>15249073</v>
      </c>
      <c r="E127">
        <v>1</v>
      </c>
      <c r="F127">
        <v>1</v>
      </c>
      <c r="G127">
        <v>1</v>
      </c>
      <c r="H127">
        <v>2</v>
      </c>
      <c r="I127" t="s">
        <v>263</v>
      </c>
      <c r="J127" t="s">
        <v>264</v>
      </c>
      <c r="K127" t="s">
        <v>265</v>
      </c>
      <c r="L127">
        <v>1368</v>
      </c>
      <c r="N127">
        <v>1011</v>
      </c>
      <c r="O127" t="s">
        <v>260</v>
      </c>
      <c r="P127" t="s">
        <v>260</v>
      </c>
      <c r="Q127">
        <v>1</v>
      </c>
      <c r="W127">
        <v>0</v>
      </c>
      <c r="X127">
        <v>1372534845</v>
      </c>
      <c r="Y127">
        <v>0.12</v>
      </c>
      <c r="AA127">
        <v>0</v>
      </c>
      <c r="AB127">
        <v>393.6</v>
      </c>
      <c r="AC127">
        <v>11.6</v>
      </c>
      <c r="AD127">
        <v>0</v>
      </c>
      <c r="AE127">
        <v>0</v>
      </c>
      <c r="AF127">
        <v>65.709999999999994</v>
      </c>
      <c r="AG127">
        <v>11.6</v>
      </c>
      <c r="AH127">
        <v>0</v>
      </c>
      <c r="AI127">
        <v>1</v>
      </c>
      <c r="AJ127">
        <v>5.99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0.12</v>
      </c>
      <c r="AU127" t="s">
        <v>6</v>
      </c>
      <c r="AV127">
        <v>0</v>
      </c>
      <c r="AW127">
        <v>2</v>
      </c>
      <c r="AX127">
        <v>16481856</v>
      </c>
      <c r="AY127">
        <v>1</v>
      </c>
      <c r="AZ127">
        <v>0</v>
      </c>
      <c r="BA127">
        <v>118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Y127*Source!I61</f>
        <v>2.5919999999999999E-2</v>
      </c>
      <c r="CY127">
        <f>AB127</f>
        <v>393.6</v>
      </c>
      <c r="CZ127">
        <f>AF127</f>
        <v>65.709999999999994</v>
      </c>
      <c r="DA127">
        <f>AJ127</f>
        <v>5.99</v>
      </c>
      <c r="DB127">
        <v>0</v>
      </c>
    </row>
    <row r="128" spans="1:106" x14ac:dyDescent="0.2">
      <c r="A128">
        <f>ROW(Source!A61)</f>
        <v>61</v>
      </c>
      <c r="B128">
        <v>16481627</v>
      </c>
      <c r="C128">
        <v>16481841</v>
      </c>
      <c r="D128">
        <v>15171018</v>
      </c>
      <c r="E128">
        <v>1</v>
      </c>
      <c r="F128">
        <v>1</v>
      </c>
      <c r="G128">
        <v>1</v>
      </c>
      <c r="H128">
        <v>3</v>
      </c>
      <c r="I128" t="s">
        <v>331</v>
      </c>
      <c r="J128" t="s">
        <v>332</v>
      </c>
      <c r="K128" t="s">
        <v>333</v>
      </c>
      <c r="L128">
        <v>1346</v>
      </c>
      <c r="N128">
        <v>1009</v>
      </c>
      <c r="O128" t="s">
        <v>322</v>
      </c>
      <c r="P128" t="s">
        <v>322</v>
      </c>
      <c r="Q128">
        <v>1</v>
      </c>
      <c r="W128">
        <v>0</v>
      </c>
      <c r="X128">
        <v>813963326</v>
      </c>
      <c r="Y128">
        <v>0.41</v>
      </c>
      <c r="AA128">
        <v>10.9</v>
      </c>
      <c r="AB128">
        <v>0</v>
      </c>
      <c r="AC128">
        <v>0</v>
      </c>
      <c r="AD128">
        <v>0</v>
      </c>
      <c r="AE128">
        <v>1.82</v>
      </c>
      <c r="AF128">
        <v>0</v>
      </c>
      <c r="AG128">
        <v>0</v>
      </c>
      <c r="AH128">
        <v>0</v>
      </c>
      <c r="AI128">
        <v>5.99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0.41</v>
      </c>
      <c r="AU128" t="s">
        <v>6</v>
      </c>
      <c r="AV128">
        <v>0</v>
      </c>
      <c r="AW128">
        <v>2</v>
      </c>
      <c r="AX128">
        <v>16481857</v>
      </c>
      <c r="AY128">
        <v>1</v>
      </c>
      <c r="AZ128">
        <v>0</v>
      </c>
      <c r="BA128">
        <v>119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Y128*Source!I61</f>
        <v>8.856E-2</v>
      </c>
      <c r="CY128">
        <f t="shared" ref="CY128:CY134" si="21">AA128</f>
        <v>10.9</v>
      </c>
      <c r="CZ128">
        <f t="shared" ref="CZ128:CZ134" si="22">AE128</f>
        <v>1.82</v>
      </c>
      <c r="DA128">
        <f t="shared" ref="DA128:DA134" si="23">AI128</f>
        <v>5.99</v>
      </c>
      <c r="DB128">
        <v>0</v>
      </c>
    </row>
    <row r="129" spans="1:106" x14ac:dyDescent="0.2">
      <c r="A129">
        <f>ROW(Source!A61)</f>
        <v>61</v>
      </c>
      <c r="B129">
        <v>16481627</v>
      </c>
      <c r="C129">
        <v>16481841</v>
      </c>
      <c r="D129">
        <v>15171907</v>
      </c>
      <c r="E129">
        <v>1</v>
      </c>
      <c r="F129">
        <v>1</v>
      </c>
      <c r="G129">
        <v>1</v>
      </c>
      <c r="H129">
        <v>3</v>
      </c>
      <c r="I129" t="s">
        <v>316</v>
      </c>
      <c r="J129" t="s">
        <v>317</v>
      </c>
      <c r="K129" t="s">
        <v>318</v>
      </c>
      <c r="L129">
        <v>1339</v>
      </c>
      <c r="N129">
        <v>1007</v>
      </c>
      <c r="O129" t="s">
        <v>301</v>
      </c>
      <c r="P129" t="s">
        <v>301</v>
      </c>
      <c r="Q129">
        <v>1</v>
      </c>
      <c r="W129">
        <v>0</v>
      </c>
      <c r="X129">
        <v>1795918813</v>
      </c>
      <c r="Y129">
        <v>4.7000000000000002E-3</v>
      </c>
      <c r="AA129">
        <v>446.73</v>
      </c>
      <c r="AB129">
        <v>0</v>
      </c>
      <c r="AC129">
        <v>0</v>
      </c>
      <c r="AD129">
        <v>0</v>
      </c>
      <c r="AE129">
        <v>74.58</v>
      </c>
      <c r="AF129">
        <v>0</v>
      </c>
      <c r="AG129">
        <v>0</v>
      </c>
      <c r="AH129">
        <v>0</v>
      </c>
      <c r="AI129">
        <v>5.99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4.7000000000000002E-3</v>
      </c>
      <c r="AU129" t="s">
        <v>6</v>
      </c>
      <c r="AV129">
        <v>0</v>
      </c>
      <c r="AW129">
        <v>2</v>
      </c>
      <c r="AX129">
        <v>16481858</v>
      </c>
      <c r="AY129">
        <v>1</v>
      </c>
      <c r="AZ129">
        <v>0</v>
      </c>
      <c r="BA129">
        <v>120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Y129*Source!I61</f>
        <v>1.0152E-3</v>
      </c>
      <c r="CY129">
        <f t="shared" si="21"/>
        <v>446.73</v>
      </c>
      <c r="CZ129">
        <f t="shared" si="22"/>
        <v>74.58</v>
      </c>
      <c r="DA129">
        <f t="shared" si="23"/>
        <v>5.99</v>
      </c>
      <c r="DB129">
        <v>0</v>
      </c>
    </row>
    <row r="130" spans="1:106" x14ac:dyDescent="0.2">
      <c r="A130">
        <f>ROW(Source!A61)</f>
        <v>61</v>
      </c>
      <c r="B130">
        <v>16481627</v>
      </c>
      <c r="C130">
        <v>16481841</v>
      </c>
      <c r="D130">
        <v>15203663</v>
      </c>
      <c r="E130">
        <v>1</v>
      </c>
      <c r="F130">
        <v>1</v>
      </c>
      <c r="G130">
        <v>1</v>
      </c>
      <c r="H130">
        <v>3</v>
      </c>
      <c r="I130" t="s">
        <v>334</v>
      </c>
      <c r="J130" t="s">
        <v>335</v>
      </c>
      <c r="K130" t="s">
        <v>336</v>
      </c>
      <c r="L130">
        <v>1348</v>
      </c>
      <c r="N130">
        <v>1009</v>
      </c>
      <c r="O130" t="s">
        <v>57</v>
      </c>
      <c r="P130" t="s">
        <v>57</v>
      </c>
      <c r="Q130">
        <v>1000</v>
      </c>
      <c r="W130">
        <v>0</v>
      </c>
      <c r="X130">
        <v>344500605</v>
      </c>
      <c r="Y130">
        <v>1.4999999999999999E-2</v>
      </c>
      <c r="AA130">
        <v>109988.38</v>
      </c>
      <c r="AB130">
        <v>0</v>
      </c>
      <c r="AC130">
        <v>0</v>
      </c>
      <c r="AD130">
        <v>0</v>
      </c>
      <c r="AE130">
        <v>18362</v>
      </c>
      <c r="AF130">
        <v>0</v>
      </c>
      <c r="AG130">
        <v>0</v>
      </c>
      <c r="AH130">
        <v>0</v>
      </c>
      <c r="AI130">
        <v>5.99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1.4999999999999999E-2</v>
      </c>
      <c r="AU130" t="s">
        <v>6</v>
      </c>
      <c r="AV130">
        <v>0</v>
      </c>
      <c r="AW130">
        <v>2</v>
      </c>
      <c r="AX130">
        <v>16481859</v>
      </c>
      <c r="AY130">
        <v>1</v>
      </c>
      <c r="AZ130">
        <v>0</v>
      </c>
      <c r="BA130">
        <v>121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Y130*Source!I61</f>
        <v>3.2399999999999998E-3</v>
      </c>
      <c r="CY130">
        <f t="shared" si="21"/>
        <v>109988.38</v>
      </c>
      <c r="CZ130">
        <f t="shared" si="22"/>
        <v>18362</v>
      </c>
      <c r="DA130">
        <f t="shared" si="23"/>
        <v>5.99</v>
      </c>
      <c r="DB130">
        <v>0</v>
      </c>
    </row>
    <row r="131" spans="1:106" x14ac:dyDescent="0.2">
      <c r="A131">
        <f>ROW(Source!A61)</f>
        <v>61</v>
      </c>
      <c r="B131">
        <v>16481627</v>
      </c>
      <c r="C131">
        <v>16481841</v>
      </c>
      <c r="D131">
        <v>15163065</v>
      </c>
      <c r="E131">
        <v>17</v>
      </c>
      <c r="F131">
        <v>1</v>
      </c>
      <c r="G131">
        <v>1</v>
      </c>
      <c r="H131">
        <v>3</v>
      </c>
      <c r="I131" t="s">
        <v>102</v>
      </c>
      <c r="J131" t="s">
        <v>6</v>
      </c>
      <c r="K131" t="s">
        <v>103</v>
      </c>
      <c r="L131">
        <v>1348</v>
      </c>
      <c r="N131">
        <v>1009</v>
      </c>
      <c r="O131" t="s">
        <v>57</v>
      </c>
      <c r="P131" t="s">
        <v>57</v>
      </c>
      <c r="Q131">
        <v>1000</v>
      </c>
      <c r="W131">
        <v>0</v>
      </c>
      <c r="X131">
        <v>1182840811</v>
      </c>
      <c r="Y131">
        <v>5.8999999999999997E-2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5.99</v>
      </c>
      <c r="AJ131">
        <v>1</v>
      </c>
      <c r="AK131">
        <v>1</v>
      </c>
      <c r="AL131">
        <v>1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6</v>
      </c>
      <c r="AT131">
        <v>5.8999999999999997E-2</v>
      </c>
      <c r="AU131" t="s">
        <v>6</v>
      </c>
      <c r="AV131">
        <v>0</v>
      </c>
      <c r="AW131">
        <v>2</v>
      </c>
      <c r="AX131">
        <v>16481860</v>
      </c>
      <c r="AY131">
        <v>1</v>
      </c>
      <c r="AZ131">
        <v>0</v>
      </c>
      <c r="BA131">
        <v>122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Y131*Source!I61</f>
        <v>1.2743999999999998E-2</v>
      </c>
      <c r="CY131">
        <f t="shared" si="21"/>
        <v>0</v>
      </c>
      <c r="CZ131">
        <f t="shared" si="22"/>
        <v>0</v>
      </c>
      <c r="DA131">
        <f t="shared" si="23"/>
        <v>5.99</v>
      </c>
      <c r="DB131">
        <v>0</v>
      </c>
    </row>
    <row r="132" spans="1:106" x14ac:dyDescent="0.2">
      <c r="A132">
        <f>ROW(Source!A61)</f>
        <v>61</v>
      </c>
      <c r="B132">
        <v>16481627</v>
      </c>
      <c r="C132">
        <v>16481841</v>
      </c>
      <c r="D132">
        <v>15203823</v>
      </c>
      <c r="E132">
        <v>1</v>
      </c>
      <c r="F132">
        <v>1</v>
      </c>
      <c r="G132">
        <v>1</v>
      </c>
      <c r="H132">
        <v>3</v>
      </c>
      <c r="I132" t="s">
        <v>105</v>
      </c>
      <c r="J132" t="s">
        <v>107</v>
      </c>
      <c r="K132" t="s">
        <v>106</v>
      </c>
      <c r="L132">
        <v>1348</v>
      </c>
      <c r="N132">
        <v>1009</v>
      </c>
      <c r="O132" t="s">
        <v>57</v>
      </c>
      <c r="P132" t="s">
        <v>57</v>
      </c>
      <c r="Q132">
        <v>1000</v>
      </c>
      <c r="W132">
        <v>0</v>
      </c>
      <c r="X132">
        <v>2085149391</v>
      </c>
      <c r="Y132">
        <v>5.9005000000000002E-2</v>
      </c>
      <c r="AA132">
        <v>95774.11</v>
      </c>
      <c r="AB132">
        <v>0</v>
      </c>
      <c r="AC132">
        <v>0</v>
      </c>
      <c r="AD132">
        <v>0</v>
      </c>
      <c r="AE132">
        <v>15989</v>
      </c>
      <c r="AF132">
        <v>0</v>
      </c>
      <c r="AG132">
        <v>0</v>
      </c>
      <c r="AH132">
        <v>0</v>
      </c>
      <c r="AI132">
        <v>5.99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6</v>
      </c>
      <c r="AT132">
        <v>5.9005000000000002E-2</v>
      </c>
      <c r="AU132" t="s">
        <v>6</v>
      </c>
      <c r="AV132">
        <v>0</v>
      </c>
      <c r="AW132">
        <v>1</v>
      </c>
      <c r="AX132">
        <v>-1</v>
      </c>
      <c r="AY132">
        <v>0</v>
      </c>
      <c r="AZ132">
        <v>0</v>
      </c>
      <c r="BA132" t="s">
        <v>6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Y132*Source!I61</f>
        <v>1.2745080000000001E-2</v>
      </c>
      <c r="CY132">
        <f t="shared" si="21"/>
        <v>95774.11</v>
      </c>
      <c r="CZ132">
        <f t="shared" si="22"/>
        <v>15989</v>
      </c>
      <c r="DA132">
        <f t="shared" si="23"/>
        <v>5.99</v>
      </c>
      <c r="DB132">
        <v>0</v>
      </c>
    </row>
    <row r="133" spans="1:106" x14ac:dyDescent="0.2">
      <c r="A133">
        <f>ROW(Source!A61)</f>
        <v>61</v>
      </c>
      <c r="B133">
        <v>16481627</v>
      </c>
      <c r="C133">
        <v>16481841</v>
      </c>
      <c r="D133">
        <v>15204703</v>
      </c>
      <c r="E133">
        <v>1</v>
      </c>
      <c r="F133">
        <v>1</v>
      </c>
      <c r="G133">
        <v>1</v>
      </c>
      <c r="H133">
        <v>3</v>
      </c>
      <c r="I133" t="s">
        <v>337</v>
      </c>
      <c r="J133" t="s">
        <v>338</v>
      </c>
      <c r="K133" t="s">
        <v>339</v>
      </c>
      <c r="L133">
        <v>1348</v>
      </c>
      <c r="N133">
        <v>1009</v>
      </c>
      <c r="O133" t="s">
        <v>57</v>
      </c>
      <c r="P133" t="s">
        <v>57</v>
      </c>
      <c r="Q133">
        <v>1000</v>
      </c>
      <c r="W133">
        <v>0</v>
      </c>
      <c r="X133">
        <v>-2124557522</v>
      </c>
      <c r="Y133">
        <v>0.01</v>
      </c>
      <c r="AA133">
        <v>39935.33</v>
      </c>
      <c r="AB133">
        <v>0</v>
      </c>
      <c r="AC133">
        <v>0</v>
      </c>
      <c r="AD133">
        <v>0</v>
      </c>
      <c r="AE133">
        <v>6667</v>
      </c>
      <c r="AF133">
        <v>0</v>
      </c>
      <c r="AG133">
        <v>0</v>
      </c>
      <c r="AH133">
        <v>0</v>
      </c>
      <c r="AI133">
        <v>5.99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0.01</v>
      </c>
      <c r="AU133" t="s">
        <v>6</v>
      </c>
      <c r="AV133">
        <v>0</v>
      </c>
      <c r="AW133">
        <v>2</v>
      </c>
      <c r="AX133">
        <v>16481861</v>
      </c>
      <c r="AY133">
        <v>1</v>
      </c>
      <c r="AZ133">
        <v>0</v>
      </c>
      <c r="BA133">
        <v>123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Y133*Source!I61</f>
        <v>2.16E-3</v>
      </c>
      <c r="CY133">
        <f t="shared" si="21"/>
        <v>39935.33</v>
      </c>
      <c r="CZ133">
        <f t="shared" si="22"/>
        <v>6667</v>
      </c>
      <c r="DA133">
        <f t="shared" si="23"/>
        <v>5.99</v>
      </c>
      <c r="DB133">
        <v>0</v>
      </c>
    </row>
    <row r="134" spans="1:106" x14ac:dyDescent="0.2">
      <c r="A134">
        <f>ROW(Source!A61)</f>
        <v>61</v>
      </c>
      <c r="B134">
        <v>16481627</v>
      </c>
      <c r="C134">
        <v>16481841</v>
      </c>
      <c r="D134">
        <v>15204788</v>
      </c>
      <c r="E134">
        <v>1</v>
      </c>
      <c r="F134">
        <v>1</v>
      </c>
      <c r="G134">
        <v>1</v>
      </c>
      <c r="H134">
        <v>3</v>
      </c>
      <c r="I134" t="s">
        <v>340</v>
      </c>
      <c r="J134" t="s">
        <v>341</v>
      </c>
      <c r="K134" t="s">
        <v>342</v>
      </c>
      <c r="L134">
        <v>1348</v>
      </c>
      <c r="N134">
        <v>1009</v>
      </c>
      <c r="O134" t="s">
        <v>57</v>
      </c>
      <c r="P134" t="s">
        <v>57</v>
      </c>
      <c r="Q134">
        <v>1000</v>
      </c>
      <c r="W134">
        <v>0</v>
      </c>
      <c r="X134">
        <v>-251271162</v>
      </c>
      <c r="Y134">
        <v>1.2E-2</v>
      </c>
      <c r="AA134">
        <v>101530.5</v>
      </c>
      <c r="AB134">
        <v>0</v>
      </c>
      <c r="AC134">
        <v>0</v>
      </c>
      <c r="AD134">
        <v>0</v>
      </c>
      <c r="AE134">
        <v>16950</v>
      </c>
      <c r="AF134">
        <v>0</v>
      </c>
      <c r="AG134">
        <v>0</v>
      </c>
      <c r="AH134">
        <v>0</v>
      </c>
      <c r="AI134">
        <v>5.99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1.2E-2</v>
      </c>
      <c r="AU134" t="s">
        <v>6</v>
      </c>
      <c r="AV134">
        <v>0</v>
      </c>
      <c r="AW134">
        <v>2</v>
      </c>
      <c r="AX134">
        <v>16481862</v>
      </c>
      <c r="AY134">
        <v>1</v>
      </c>
      <c r="AZ134">
        <v>0</v>
      </c>
      <c r="BA134">
        <v>124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Y134*Source!I61</f>
        <v>2.5920000000000001E-3</v>
      </c>
      <c r="CY134">
        <f t="shared" si="21"/>
        <v>101530.5</v>
      </c>
      <c r="CZ134">
        <f t="shared" si="22"/>
        <v>16950</v>
      </c>
      <c r="DA134">
        <f t="shared" si="23"/>
        <v>5.99</v>
      </c>
      <c r="DB13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16481693</v>
      </c>
      <c r="C1">
        <v>16481689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252</v>
      </c>
      <c r="J1" t="s">
        <v>6</v>
      </c>
      <c r="K1" t="s">
        <v>253</v>
      </c>
      <c r="L1">
        <v>1191</v>
      </c>
      <c r="N1">
        <v>1013</v>
      </c>
      <c r="O1" t="s">
        <v>254</v>
      </c>
      <c r="P1" t="s">
        <v>254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16481690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16481694</v>
      </c>
      <c r="C2">
        <v>16481689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255</v>
      </c>
      <c r="J2" t="s">
        <v>6</v>
      </c>
      <c r="K2" t="s">
        <v>256</v>
      </c>
      <c r="L2">
        <v>1191</v>
      </c>
      <c r="N2">
        <v>1013</v>
      </c>
      <c r="O2" t="s">
        <v>254</v>
      </c>
      <c r="P2" t="s">
        <v>254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16481691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16481695</v>
      </c>
      <c r="C3">
        <v>16481689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257</v>
      </c>
      <c r="J3" t="s">
        <v>258</v>
      </c>
      <c r="K3" t="s">
        <v>259</v>
      </c>
      <c r="L3">
        <v>1368</v>
      </c>
      <c r="N3">
        <v>1011</v>
      </c>
      <c r="O3" t="s">
        <v>260</v>
      </c>
      <c r="P3" t="s">
        <v>260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16481692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16481693</v>
      </c>
      <c r="C4">
        <v>16481689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252</v>
      </c>
      <c r="J4" t="s">
        <v>6</v>
      </c>
      <c r="K4" t="s">
        <v>253</v>
      </c>
      <c r="L4">
        <v>1191</v>
      </c>
      <c r="N4">
        <v>1013</v>
      </c>
      <c r="O4" t="s">
        <v>254</v>
      </c>
      <c r="P4" t="s">
        <v>254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188.54</v>
      </c>
      <c r="AH4">
        <v>2</v>
      </c>
      <c r="AI4">
        <v>16481690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16481694</v>
      </c>
      <c r="C5">
        <v>16481689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255</v>
      </c>
      <c r="J5" t="s">
        <v>6</v>
      </c>
      <c r="K5" t="s">
        <v>256</v>
      </c>
      <c r="L5">
        <v>1191</v>
      </c>
      <c r="N5">
        <v>1013</v>
      </c>
      <c r="O5" t="s">
        <v>254</v>
      </c>
      <c r="P5" t="s">
        <v>254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16481691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16481695</v>
      </c>
      <c r="C6">
        <v>16481689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257</v>
      </c>
      <c r="J6" t="s">
        <v>258</v>
      </c>
      <c r="K6" t="s">
        <v>259</v>
      </c>
      <c r="L6">
        <v>1368</v>
      </c>
      <c r="N6">
        <v>1011</v>
      </c>
      <c r="O6" t="s">
        <v>260</v>
      </c>
      <c r="P6" t="s">
        <v>260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16481692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16481709</v>
      </c>
      <c r="C7">
        <v>16481696</v>
      </c>
      <c r="D7">
        <v>15436014</v>
      </c>
      <c r="E7">
        <v>1</v>
      </c>
      <c r="F7">
        <v>1</v>
      </c>
      <c r="G7">
        <v>1</v>
      </c>
      <c r="H7">
        <v>1</v>
      </c>
      <c r="I7" t="s">
        <v>261</v>
      </c>
      <c r="J7" t="s">
        <v>6</v>
      </c>
      <c r="K7" t="s">
        <v>262</v>
      </c>
      <c r="L7">
        <v>1191</v>
      </c>
      <c r="N7">
        <v>1013</v>
      </c>
      <c r="O7" t="s">
        <v>254</v>
      </c>
      <c r="P7" t="s">
        <v>254</v>
      </c>
      <c r="Q7">
        <v>1</v>
      </c>
      <c r="X7">
        <v>149.16</v>
      </c>
      <c r="Y7">
        <v>0</v>
      </c>
      <c r="Z7">
        <v>0</v>
      </c>
      <c r="AA7">
        <v>0</v>
      </c>
      <c r="AB7">
        <v>8.74</v>
      </c>
      <c r="AC7">
        <v>0</v>
      </c>
      <c r="AD7">
        <v>1</v>
      </c>
      <c r="AE7">
        <v>1</v>
      </c>
      <c r="AF7" t="s">
        <v>6</v>
      </c>
      <c r="AG7">
        <v>149.16</v>
      </c>
      <c r="AH7">
        <v>2</v>
      </c>
      <c r="AI7">
        <v>16481697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16481710</v>
      </c>
      <c r="C8">
        <v>16481696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255</v>
      </c>
      <c r="J8" t="s">
        <v>6</v>
      </c>
      <c r="K8" t="s">
        <v>256</v>
      </c>
      <c r="L8">
        <v>1191</v>
      </c>
      <c r="N8">
        <v>1013</v>
      </c>
      <c r="O8" t="s">
        <v>254</v>
      </c>
      <c r="P8" t="s">
        <v>254</v>
      </c>
      <c r="Q8">
        <v>1</v>
      </c>
      <c r="X8">
        <v>4.2300000000000004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6</v>
      </c>
      <c r="AG8">
        <v>4.2300000000000004</v>
      </c>
      <c r="AH8">
        <v>2</v>
      </c>
      <c r="AI8">
        <v>16481698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16481711</v>
      </c>
      <c r="C9">
        <v>16481696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257</v>
      </c>
      <c r="J9" t="s">
        <v>258</v>
      </c>
      <c r="K9" t="s">
        <v>259</v>
      </c>
      <c r="L9">
        <v>1368</v>
      </c>
      <c r="N9">
        <v>1011</v>
      </c>
      <c r="O9" t="s">
        <v>260</v>
      </c>
      <c r="P9" t="s">
        <v>260</v>
      </c>
      <c r="Q9">
        <v>1</v>
      </c>
      <c r="X9">
        <v>0.66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0.66</v>
      </c>
      <c r="AH9">
        <v>2</v>
      </c>
      <c r="AI9">
        <v>16481699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16481712</v>
      </c>
      <c r="C10">
        <v>16481696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263</v>
      </c>
      <c r="J10" t="s">
        <v>264</v>
      </c>
      <c r="K10" t="s">
        <v>265</v>
      </c>
      <c r="L10">
        <v>1368</v>
      </c>
      <c r="N10">
        <v>1011</v>
      </c>
      <c r="O10" t="s">
        <v>260</v>
      </c>
      <c r="P10" t="s">
        <v>260</v>
      </c>
      <c r="Q10">
        <v>1</v>
      </c>
      <c r="X10">
        <v>3.57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6</v>
      </c>
      <c r="AG10">
        <v>3.57</v>
      </c>
      <c r="AH10">
        <v>2</v>
      </c>
      <c r="AI10">
        <v>16481700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16481713</v>
      </c>
      <c r="C11">
        <v>16481696</v>
      </c>
      <c r="D11">
        <v>15167551</v>
      </c>
      <c r="E11">
        <v>1</v>
      </c>
      <c r="F11">
        <v>1</v>
      </c>
      <c r="G11">
        <v>1</v>
      </c>
      <c r="H11">
        <v>3</v>
      </c>
      <c r="I11" t="s">
        <v>266</v>
      </c>
      <c r="J11" t="s">
        <v>267</v>
      </c>
      <c r="K11" t="s">
        <v>268</v>
      </c>
      <c r="L11">
        <v>1301</v>
      </c>
      <c r="N11">
        <v>1003</v>
      </c>
      <c r="O11" t="s">
        <v>45</v>
      </c>
      <c r="P11" t="s">
        <v>45</v>
      </c>
      <c r="Q11">
        <v>1</v>
      </c>
      <c r="X11">
        <v>253</v>
      </c>
      <c r="Y11">
        <v>6.38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253</v>
      </c>
      <c r="AH11">
        <v>2</v>
      </c>
      <c r="AI11">
        <v>16481701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16481714</v>
      </c>
      <c r="C12">
        <v>16481696</v>
      </c>
      <c r="D12">
        <v>15167552</v>
      </c>
      <c r="E12">
        <v>1</v>
      </c>
      <c r="F12">
        <v>1</v>
      </c>
      <c r="G12">
        <v>1</v>
      </c>
      <c r="H12">
        <v>3</v>
      </c>
      <c r="I12" t="s">
        <v>269</v>
      </c>
      <c r="J12" t="s">
        <v>270</v>
      </c>
      <c r="K12" t="s">
        <v>271</v>
      </c>
      <c r="L12">
        <v>1301</v>
      </c>
      <c r="N12">
        <v>1003</v>
      </c>
      <c r="O12" t="s">
        <v>45</v>
      </c>
      <c r="P12" t="s">
        <v>45</v>
      </c>
      <c r="Q12">
        <v>1</v>
      </c>
      <c r="X12">
        <v>59</v>
      </c>
      <c r="Y12">
        <v>7.95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59</v>
      </c>
      <c r="AH12">
        <v>2</v>
      </c>
      <c r="AI12">
        <v>16481702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16481715</v>
      </c>
      <c r="C13">
        <v>16481696</v>
      </c>
      <c r="D13">
        <v>15167640</v>
      </c>
      <c r="E13">
        <v>1</v>
      </c>
      <c r="F13">
        <v>1</v>
      </c>
      <c r="G13">
        <v>1</v>
      </c>
      <c r="H13">
        <v>3</v>
      </c>
      <c r="I13" t="s">
        <v>272</v>
      </c>
      <c r="J13" t="s">
        <v>273</v>
      </c>
      <c r="K13" t="s">
        <v>274</v>
      </c>
      <c r="L13">
        <v>1302</v>
      </c>
      <c r="N13">
        <v>1003</v>
      </c>
      <c r="O13" t="s">
        <v>275</v>
      </c>
      <c r="P13" t="s">
        <v>275</v>
      </c>
      <c r="Q13">
        <v>10</v>
      </c>
      <c r="X13">
        <v>15.9</v>
      </c>
      <c r="Y13">
        <v>64.099999999999994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15.9</v>
      </c>
      <c r="AH13">
        <v>2</v>
      </c>
      <c r="AI13">
        <v>16481703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ROW(Source!A26)</f>
        <v>26</v>
      </c>
      <c r="B14">
        <v>16481716</v>
      </c>
      <c r="C14">
        <v>16481696</v>
      </c>
      <c r="D14">
        <v>15170065</v>
      </c>
      <c r="E14">
        <v>1</v>
      </c>
      <c r="F14">
        <v>1</v>
      </c>
      <c r="G14">
        <v>1</v>
      </c>
      <c r="H14">
        <v>3</v>
      </c>
      <c r="I14" t="s">
        <v>276</v>
      </c>
      <c r="J14" t="s">
        <v>277</v>
      </c>
      <c r="K14" t="s">
        <v>278</v>
      </c>
      <c r="L14">
        <v>1358</v>
      </c>
      <c r="N14">
        <v>1010</v>
      </c>
      <c r="O14" t="s">
        <v>279</v>
      </c>
      <c r="P14" t="s">
        <v>279</v>
      </c>
      <c r="Q14">
        <v>10</v>
      </c>
      <c r="X14">
        <v>41.2</v>
      </c>
      <c r="Y14">
        <v>7.03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41.2</v>
      </c>
      <c r="AH14">
        <v>2</v>
      </c>
      <c r="AI14">
        <v>16481704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ROW(Source!A26)</f>
        <v>26</v>
      </c>
      <c r="B15">
        <v>16481717</v>
      </c>
      <c r="C15">
        <v>16481696</v>
      </c>
      <c r="D15">
        <v>15162466</v>
      </c>
      <c r="E15">
        <v>17</v>
      </c>
      <c r="F15">
        <v>1</v>
      </c>
      <c r="G15">
        <v>1</v>
      </c>
      <c r="H15">
        <v>3</v>
      </c>
      <c r="I15" t="s">
        <v>30</v>
      </c>
      <c r="J15" t="s">
        <v>6</v>
      </c>
      <c r="K15" t="s">
        <v>31</v>
      </c>
      <c r="L15">
        <v>1327</v>
      </c>
      <c r="N15">
        <v>1005</v>
      </c>
      <c r="O15" t="s">
        <v>32</v>
      </c>
      <c r="P15" t="s">
        <v>32</v>
      </c>
      <c r="Q15">
        <v>1</v>
      </c>
      <c r="X15">
        <v>100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 t="s">
        <v>6</v>
      </c>
      <c r="AG15">
        <v>100</v>
      </c>
      <c r="AH15">
        <v>2</v>
      </c>
      <c r="AI15">
        <v>16481705</v>
      </c>
      <c r="AJ15">
        <v>16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ROW(Source!A26)</f>
        <v>26</v>
      </c>
      <c r="B16">
        <v>16481718</v>
      </c>
      <c r="C16">
        <v>16481696</v>
      </c>
      <c r="D16">
        <v>15197780</v>
      </c>
      <c r="E16">
        <v>1</v>
      </c>
      <c r="F16">
        <v>1</v>
      </c>
      <c r="G16">
        <v>1</v>
      </c>
      <c r="H16">
        <v>3</v>
      </c>
      <c r="I16" t="s">
        <v>280</v>
      </c>
      <c r="J16" t="s">
        <v>281</v>
      </c>
      <c r="K16" t="s">
        <v>282</v>
      </c>
      <c r="L16">
        <v>1355</v>
      </c>
      <c r="N16">
        <v>1010</v>
      </c>
      <c r="O16" t="s">
        <v>283</v>
      </c>
      <c r="P16" t="s">
        <v>283</v>
      </c>
      <c r="Q16">
        <v>100</v>
      </c>
      <c r="X16">
        <v>8</v>
      </c>
      <c r="Y16">
        <v>50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8</v>
      </c>
      <c r="AH16">
        <v>2</v>
      </c>
      <c r="AI16">
        <v>16481706</v>
      </c>
      <c r="AJ16">
        <v>17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ROW(Source!A26)</f>
        <v>26</v>
      </c>
      <c r="B17">
        <v>16481719</v>
      </c>
      <c r="C17">
        <v>16481696</v>
      </c>
      <c r="D17">
        <v>15204239</v>
      </c>
      <c r="E17">
        <v>1</v>
      </c>
      <c r="F17">
        <v>1</v>
      </c>
      <c r="G17">
        <v>1</v>
      </c>
      <c r="H17">
        <v>3</v>
      </c>
      <c r="I17" t="s">
        <v>284</v>
      </c>
      <c r="J17" t="s">
        <v>285</v>
      </c>
      <c r="K17" t="s">
        <v>286</v>
      </c>
      <c r="L17">
        <v>1354</v>
      </c>
      <c r="N17">
        <v>1010</v>
      </c>
      <c r="O17" t="s">
        <v>287</v>
      </c>
      <c r="P17" t="s">
        <v>287</v>
      </c>
      <c r="Q17">
        <v>1</v>
      </c>
      <c r="X17">
        <v>71</v>
      </c>
      <c r="Y17">
        <v>67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71</v>
      </c>
      <c r="AH17">
        <v>2</v>
      </c>
      <c r="AI17">
        <v>16481707</v>
      </c>
      <c r="AJ17">
        <v>18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16481709</v>
      </c>
      <c r="C18">
        <v>16481696</v>
      </c>
      <c r="D18">
        <v>15436014</v>
      </c>
      <c r="E18">
        <v>1</v>
      </c>
      <c r="F18">
        <v>1</v>
      </c>
      <c r="G18">
        <v>1</v>
      </c>
      <c r="H18">
        <v>1</v>
      </c>
      <c r="I18" t="s">
        <v>261</v>
      </c>
      <c r="J18" t="s">
        <v>6</v>
      </c>
      <c r="K18" t="s">
        <v>262</v>
      </c>
      <c r="L18">
        <v>1191</v>
      </c>
      <c r="N18">
        <v>1013</v>
      </c>
      <c r="O18" t="s">
        <v>254</v>
      </c>
      <c r="P18" t="s">
        <v>254</v>
      </c>
      <c r="Q18">
        <v>1</v>
      </c>
      <c r="X18">
        <v>149.16</v>
      </c>
      <c r="Y18">
        <v>0</v>
      </c>
      <c r="Z18">
        <v>0</v>
      </c>
      <c r="AA18">
        <v>0</v>
      </c>
      <c r="AB18">
        <v>8.74</v>
      </c>
      <c r="AC18">
        <v>0</v>
      </c>
      <c r="AD18">
        <v>1</v>
      </c>
      <c r="AE18">
        <v>1</v>
      </c>
      <c r="AF18" t="s">
        <v>6</v>
      </c>
      <c r="AG18">
        <v>149.16</v>
      </c>
      <c r="AH18">
        <v>2</v>
      </c>
      <c r="AI18">
        <v>16481697</v>
      </c>
      <c r="AJ18">
        <v>19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16481710</v>
      </c>
      <c r="C19">
        <v>16481696</v>
      </c>
      <c r="D19">
        <v>15430395</v>
      </c>
      <c r="E19">
        <v>1</v>
      </c>
      <c r="F19">
        <v>1</v>
      </c>
      <c r="G19">
        <v>1</v>
      </c>
      <c r="H19">
        <v>1</v>
      </c>
      <c r="I19" t="s">
        <v>255</v>
      </c>
      <c r="J19" t="s">
        <v>6</v>
      </c>
      <c r="K19" t="s">
        <v>256</v>
      </c>
      <c r="L19">
        <v>1191</v>
      </c>
      <c r="N19">
        <v>1013</v>
      </c>
      <c r="O19" t="s">
        <v>254</v>
      </c>
      <c r="P19" t="s">
        <v>254</v>
      </c>
      <c r="Q19">
        <v>1</v>
      </c>
      <c r="X19">
        <v>4.2300000000000004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2</v>
      </c>
      <c r="AF19" t="s">
        <v>6</v>
      </c>
      <c r="AG19">
        <v>4.2300000000000004</v>
      </c>
      <c r="AH19">
        <v>2</v>
      </c>
      <c r="AI19">
        <v>16481698</v>
      </c>
      <c r="AJ19">
        <v>20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ROW(Source!A27)</f>
        <v>27</v>
      </c>
      <c r="B20">
        <v>16481711</v>
      </c>
      <c r="C20">
        <v>16481696</v>
      </c>
      <c r="D20">
        <v>15247974</v>
      </c>
      <c r="E20">
        <v>1</v>
      </c>
      <c r="F20">
        <v>1</v>
      </c>
      <c r="G20">
        <v>1</v>
      </c>
      <c r="H20">
        <v>2</v>
      </c>
      <c r="I20" t="s">
        <v>257</v>
      </c>
      <c r="J20" t="s">
        <v>258</v>
      </c>
      <c r="K20" t="s">
        <v>259</v>
      </c>
      <c r="L20">
        <v>1368</v>
      </c>
      <c r="N20">
        <v>1011</v>
      </c>
      <c r="O20" t="s">
        <v>260</v>
      </c>
      <c r="P20" t="s">
        <v>260</v>
      </c>
      <c r="Q20">
        <v>1</v>
      </c>
      <c r="X20">
        <v>0.66</v>
      </c>
      <c r="Y20">
        <v>0</v>
      </c>
      <c r="Z20">
        <v>31.26</v>
      </c>
      <c r="AA20">
        <v>13.5</v>
      </c>
      <c r="AB20">
        <v>0</v>
      </c>
      <c r="AC20">
        <v>0</v>
      </c>
      <c r="AD20">
        <v>1</v>
      </c>
      <c r="AE20">
        <v>0</v>
      </c>
      <c r="AF20" t="s">
        <v>6</v>
      </c>
      <c r="AG20">
        <v>0.66</v>
      </c>
      <c r="AH20">
        <v>2</v>
      </c>
      <c r="AI20">
        <v>16481699</v>
      </c>
      <c r="AJ20">
        <v>21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ROW(Source!A27)</f>
        <v>27</v>
      </c>
      <c r="B21">
        <v>16481712</v>
      </c>
      <c r="C21">
        <v>16481696</v>
      </c>
      <c r="D21">
        <v>15249073</v>
      </c>
      <c r="E21">
        <v>1</v>
      </c>
      <c r="F21">
        <v>1</v>
      </c>
      <c r="G21">
        <v>1</v>
      </c>
      <c r="H21">
        <v>2</v>
      </c>
      <c r="I21" t="s">
        <v>263</v>
      </c>
      <c r="J21" t="s">
        <v>264</v>
      </c>
      <c r="K21" t="s">
        <v>265</v>
      </c>
      <c r="L21">
        <v>1368</v>
      </c>
      <c r="N21">
        <v>1011</v>
      </c>
      <c r="O21" t="s">
        <v>260</v>
      </c>
      <c r="P21" t="s">
        <v>260</v>
      </c>
      <c r="Q21">
        <v>1</v>
      </c>
      <c r="X21">
        <v>3.57</v>
      </c>
      <c r="Y21">
        <v>0</v>
      </c>
      <c r="Z21">
        <v>65.709999999999994</v>
      </c>
      <c r="AA21">
        <v>11.6</v>
      </c>
      <c r="AB21">
        <v>0</v>
      </c>
      <c r="AC21">
        <v>0</v>
      </c>
      <c r="AD21">
        <v>1</v>
      </c>
      <c r="AE21">
        <v>0</v>
      </c>
      <c r="AF21" t="s">
        <v>6</v>
      </c>
      <c r="AG21">
        <v>3.57</v>
      </c>
      <c r="AH21">
        <v>2</v>
      </c>
      <c r="AI21">
        <v>16481700</v>
      </c>
      <c r="AJ21">
        <v>22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ROW(Source!A27)</f>
        <v>27</v>
      </c>
      <c r="B22">
        <v>16481713</v>
      </c>
      <c r="C22">
        <v>16481696</v>
      </c>
      <c r="D22">
        <v>15167551</v>
      </c>
      <c r="E22">
        <v>1</v>
      </c>
      <c r="F22">
        <v>1</v>
      </c>
      <c r="G22">
        <v>1</v>
      </c>
      <c r="H22">
        <v>3</v>
      </c>
      <c r="I22" t="s">
        <v>266</v>
      </c>
      <c r="J22" t="s">
        <v>267</v>
      </c>
      <c r="K22" t="s">
        <v>268</v>
      </c>
      <c r="L22">
        <v>1301</v>
      </c>
      <c r="N22">
        <v>1003</v>
      </c>
      <c r="O22" t="s">
        <v>45</v>
      </c>
      <c r="P22" t="s">
        <v>45</v>
      </c>
      <c r="Q22">
        <v>1</v>
      </c>
      <c r="X22">
        <v>253</v>
      </c>
      <c r="Y22">
        <v>6.38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253</v>
      </c>
      <c r="AH22">
        <v>2</v>
      </c>
      <c r="AI22">
        <v>16481701</v>
      </c>
      <c r="AJ22">
        <v>23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ROW(Source!A27)</f>
        <v>27</v>
      </c>
      <c r="B23">
        <v>16481714</v>
      </c>
      <c r="C23">
        <v>16481696</v>
      </c>
      <c r="D23">
        <v>15167552</v>
      </c>
      <c r="E23">
        <v>1</v>
      </c>
      <c r="F23">
        <v>1</v>
      </c>
      <c r="G23">
        <v>1</v>
      </c>
      <c r="H23">
        <v>3</v>
      </c>
      <c r="I23" t="s">
        <v>269</v>
      </c>
      <c r="J23" t="s">
        <v>270</v>
      </c>
      <c r="K23" t="s">
        <v>271</v>
      </c>
      <c r="L23">
        <v>1301</v>
      </c>
      <c r="N23">
        <v>1003</v>
      </c>
      <c r="O23" t="s">
        <v>45</v>
      </c>
      <c r="P23" t="s">
        <v>45</v>
      </c>
      <c r="Q23">
        <v>1</v>
      </c>
      <c r="X23">
        <v>59</v>
      </c>
      <c r="Y23">
        <v>7.95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59</v>
      </c>
      <c r="AH23">
        <v>2</v>
      </c>
      <c r="AI23">
        <v>16481702</v>
      </c>
      <c r="AJ23">
        <v>24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ROW(Source!A27)</f>
        <v>27</v>
      </c>
      <c r="B24">
        <v>16481715</v>
      </c>
      <c r="C24">
        <v>16481696</v>
      </c>
      <c r="D24">
        <v>15167640</v>
      </c>
      <c r="E24">
        <v>1</v>
      </c>
      <c r="F24">
        <v>1</v>
      </c>
      <c r="G24">
        <v>1</v>
      </c>
      <c r="H24">
        <v>3</v>
      </c>
      <c r="I24" t="s">
        <v>272</v>
      </c>
      <c r="J24" t="s">
        <v>273</v>
      </c>
      <c r="K24" t="s">
        <v>274</v>
      </c>
      <c r="L24">
        <v>1302</v>
      </c>
      <c r="N24">
        <v>1003</v>
      </c>
      <c r="O24" t="s">
        <v>275</v>
      </c>
      <c r="P24" t="s">
        <v>275</v>
      </c>
      <c r="Q24">
        <v>10</v>
      </c>
      <c r="X24">
        <v>15.9</v>
      </c>
      <c r="Y24">
        <v>64.099999999999994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15.9</v>
      </c>
      <c r="AH24">
        <v>2</v>
      </c>
      <c r="AI24">
        <v>16481703</v>
      </c>
      <c r="AJ24">
        <v>25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ROW(Source!A27)</f>
        <v>27</v>
      </c>
      <c r="B25">
        <v>16481716</v>
      </c>
      <c r="C25">
        <v>16481696</v>
      </c>
      <c r="D25">
        <v>15170065</v>
      </c>
      <c r="E25">
        <v>1</v>
      </c>
      <c r="F25">
        <v>1</v>
      </c>
      <c r="G25">
        <v>1</v>
      </c>
      <c r="H25">
        <v>3</v>
      </c>
      <c r="I25" t="s">
        <v>276</v>
      </c>
      <c r="J25" t="s">
        <v>277</v>
      </c>
      <c r="K25" t="s">
        <v>278</v>
      </c>
      <c r="L25">
        <v>1358</v>
      </c>
      <c r="N25">
        <v>1010</v>
      </c>
      <c r="O25" t="s">
        <v>279</v>
      </c>
      <c r="P25" t="s">
        <v>279</v>
      </c>
      <c r="Q25">
        <v>10</v>
      </c>
      <c r="X25">
        <v>41.2</v>
      </c>
      <c r="Y25">
        <v>7.03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41.2</v>
      </c>
      <c r="AH25">
        <v>2</v>
      </c>
      <c r="AI25">
        <v>16481704</v>
      </c>
      <c r="AJ25">
        <v>26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ROW(Source!A27)</f>
        <v>27</v>
      </c>
      <c r="B26">
        <v>16481717</v>
      </c>
      <c r="C26">
        <v>16481696</v>
      </c>
      <c r="D26">
        <v>15162466</v>
      </c>
      <c r="E26">
        <v>17</v>
      </c>
      <c r="F26">
        <v>1</v>
      </c>
      <c r="G26">
        <v>1</v>
      </c>
      <c r="H26">
        <v>3</v>
      </c>
      <c r="I26" t="s">
        <v>30</v>
      </c>
      <c r="J26" t="s">
        <v>6</v>
      </c>
      <c r="K26" t="s">
        <v>31</v>
      </c>
      <c r="L26">
        <v>1327</v>
      </c>
      <c r="N26">
        <v>1005</v>
      </c>
      <c r="O26" t="s">
        <v>32</v>
      </c>
      <c r="P26" t="s">
        <v>32</v>
      </c>
      <c r="Q26">
        <v>1</v>
      </c>
      <c r="X26">
        <v>100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100</v>
      </c>
      <c r="AH26">
        <v>2</v>
      </c>
      <c r="AI26">
        <v>16481705</v>
      </c>
      <c r="AJ26">
        <v>28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ROW(Source!A27)</f>
        <v>27</v>
      </c>
      <c r="B27">
        <v>16481718</v>
      </c>
      <c r="C27">
        <v>16481696</v>
      </c>
      <c r="D27">
        <v>15197780</v>
      </c>
      <c r="E27">
        <v>1</v>
      </c>
      <c r="F27">
        <v>1</v>
      </c>
      <c r="G27">
        <v>1</v>
      </c>
      <c r="H27">
        <v>3</v>
      </c>
      <c r="I27" t="s">
        <v>280</v>
      </c>
      <c r="J27" t="s">
        <v>281</v>
      </c>
      <c r="K27" t="s">
        <v>282</v>
      </c>
      <c r="L27">
        <v>1355</v>
      </c>
      <c r="N27">
        <v>1010</v>
      </c>
      <c r="O27" t="s">
        <v>283</v>
      </c>
      <c r="P27" t="s">
        <v>283</v>
      </c>
      <c r="Q27">
        <v>100</v>
      </c>
      <c r="X27">
        <v>8</v>
      </c>
      <c r="Y27">
        <v>50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8</v>
      </c>
      <c r="AH27">
        <v>2</v>
      </c>
      <c r="AI27">
        <v>16481706</v>
      </c>
      <c r="AJ27">
        <v>29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ROW(Source!A27)</f>
        <v>27</v>
      </c>
      <c r="B28">
        <v>16481719</v>
      </c>
      <c r="C28">
        <v>16481696</v>
      </c>
      <c r="D28">
        <v>15204239</v>
      </c>
      <c r="E28">
        <v>1</v>
      </c>
      <c r="F28">
        <v>1</v>
      </c>
      <c r="G28">
        <v>1</v>
      </c>
      <c r="H28">
        <v>3</v>
      </c>
      <c r="I28" t="s">
        <v>284</v>
      </c>
      <c r="J28" t="s">
        <v>285</v>
      </c>
      <c r="K28" t="s">
        <v>286</v>
      </c>
      <c r="L28">
        <v>1354</v>
      </c>
      <c r="N28">
        <v>1010</v>
      </c>
      <c r="O28" t="s">
        <v>287</v>
      </c>
      <c r="P28" t="s">
        <v>287</v>
      </c>
      <c r="Q28">
        <v>1</v>
      </c>
      <c r="X28">
        <v>71</v>
      </c>
      <c r="Y28">
        <v>67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71</v>
      </c>
      <c r="AH28">
        <v>2</v>
      </c>
      <c r="AI28">
        <v>16481707</v>
      </c>
      <c r="AJ28">
        <v>30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ROW(Source!A32)</f>
        <v>32</v>
      </c>
      <c r="B29">
        <v>16481730</v>
      </c>
      <c r="C29">
        <v>16481722</v>
      </c>
      <c r="D29">
        <v>15430767</v>
      </c>
      <c r="E29">
        <v>1</v>
      </c>
      <c r="F29">
        <v>1</v>
      </c>
      <c r="G29">
        <v>1</v>
      </c>
      <c r="H29">
        <v>1</v>
      </c>
      <c r="I29" t="s">
        <v>288</v>
      </c>
      <c r="J29" t="s">
        <v>6</v>
      </c>
      <c r="K29" t="s">
        <v>289</v>
      </c>
      <c r="L29">
        <v>1191</v>
      </c>
      <c r="N29">
        <v>1013</v>
      </c>
      <c r="O29" t="s">
        <v>254</v>
      </c>
      <c r="P29" t="s">
        <v>254</v>
      </c>
      <c r="Q29">
        <v>1</v>
      </c>
      <c r="X29">
        <v>21.38</v>
      </c>
      <c r="Y29">
        <v>0</v>
      </c>
      <c r="Z29">
        <v>0</v>
      </c>
      <c r="AA29">
        <v>0</v>
      </c>
      <c r="AB29">
        <v>8.5299999999999994</v>
      </c>
      <c r="AC29">
        <v>0</v>
      </c>
      <c r="AD29">
        <v>1</v>
      </c>
      <c r="AE29">
        <v>1</v>
      </c>
      <c r="AF29" t="s">
        <v>6</v>
      </c>
      <c r="AG29">
        <v>21.38</v>
      </c>
      <c r="AH29">
        <v>2</v>
      </c>
      <c r="AI29">
        <v>16481723</v>
      </c>
      <c r="AJ29">
        <v>31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ROW(Source!A32)</f>
        <v>32</v>
      </c>
      <c r="B30">
        <v>16481731</v>
      </c>
      <c r="C30">
        <v>16481722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255</v>
      </c>
      <c r="J30" t="s">
        <v>6</v>
      </c>
      <c r="K30" t="s">
        <v>256</v>
      </c>
      <c r="L30">
        <v>1191</v>
      </c>
      <c r="N30">
        <v>1013</v>
      </c>
      <c r="O30" t="s">
        <v>254</v>
      </c>
      <c r="P30" t="s">
        <v>254</v>
      </c>
      <c r="Q30">
        <v>1</v>
      </c>
      <c r="X30">
        <v>0.37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6</v>
      </c>
      <c r="AG30">
        <v>0.37</v>
      </c>
      <c r="AH30">
        <v>2</v>
      </c>
      <c r="AI30">
        <v>16481724</v>
      </c>
      <c r="AJ30">
        <v>32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ROW(Source!A32)</f>
        <v>32</v>
      </c>
      <c r="B31">
        <v>16481732</v>
      </c>
      <c r="C31">
        <v>16481722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257</v>
      </c>
      <c r="J31" t="s">
        <v>258</v>
      </c>
      <c r="K31" t="s">
        <v>259</v>
      </c>
      <c r="L31">
        <v>1368</v>
      </c>
      <c r="N31">
        <v>1011</v>
      </c>
      <c r="O31" t="s">
        <v>260</v>
      </c>
      <c r="P31" t="s">
        <v>260</v>
      </c>
      <c r="Q31">
        <v>1</v>
      </c>
      <c r="X31">
        <v>7.0000000000000007E-2</v>
      </c>
      <c r="Y31">
        <v>0</v>
      </c>
      <c r="Z31">
        <v>31.26</v>
      </c>
      <c r="AA31">
        <v>13.5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7.0000000000000007E-2</v>
      </c>
      <c r="AH31">
        <v>2</v>
      </c>
      <c r="AI31">
        <v>16481725</v>
      </c>
      <c r="AJ31">
        <v>33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ROW(Source!A32)</f>
        <v>32</v>
      </c>
      <c r="B32">
        <v>16481733</v>
      </c>
      <c r="C32">
        <v>16481722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263</v>
      </c>
      <c r="J32" t="s">
        <v>264</v>
      </c>
      <c r="K32" t="s">
        <v>265</v>
      </c>
      <c r="L32">
        <v>1368</v>
      </c>
      <c r="N32">
        <v>1011</v>
      </c>
      <c r="O32" t="s">
        <v>260</v>
      </c>
      <c r="P32" t="s">
        <v>260</v>
      </c>
      <c r="Q32">
        <v>1</v>
      </c>
      <c r="X32">
        <v>0.3</v>
      </c>
      <c r="Y32">
        <v>0</v>
      </c>
      <c r="Z32">
        <v>65.709999999999994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0.3</v>
      </c>
      <c r="AH32">
        <v>2</v>
      </c>
      <c r="AI32">
        <v>16481726</v>
      </c>
      <c r="AJ32">
        <v>34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ROW(Source!A32)</f>
        <v>32</v>
      </c>
      <c r="B33">
        <v>16481734</v>
      </c>
      <c r="C33">
        <v>16481722</v>
      </c>
      <c r="D33">
        <v>15162469</v>
      </c>
      <c r="E33">
        <v>17</v>
      </c>
      <c r="F33">
        <v>1</v>
      </c>
      <c r="G33">
        <v>1</v>
      </c>
      <c r="H33">
        <v>3</v>
      </c>
      <c r="I33" t="s">
        <v>343</v>
      </c>
      <c r="J33" t="s">
        <v>6</v>
      </c>
      <c r="K33" t="s">
        <v>344</v>
      </c>
      <c r="L33">
        <v>1301</v>
      </c>
      <c r="N33">
        <v>1003</v>
      </c>
      <c r="O33" t="s">
        <v>45</v>
      </c>
      <c r="P33" t="s">
        <v>45</v>
      </c>
      <c r="Q33">
        <v>1</v>
      </c>
      <c r="X33">
        <v>0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 t="s">
        <v>6</v>
      </c>
      <c r="AG33">
        <v>0</v>
      </c>
      <c r="AH33">
        <v>3</v>
      </c>
      <c r="AI33">
        <v>-1</v>
      </c>
      <c r="AJ33" t="s">
        <v>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ROW(Source!A32)</f>
        <v>32</v>
      </c>
      <c r="B34">
        <v>16481735</v>
      </c>
      <c r="C34">
        <v>16481722</v>
      </c>
      <c r="D34">
        <v>15197780</v>
      </c>
      <c r="E34">
        <v>1</v>
      </c>
      <c r="F34">
        <v>1</v>
      </c>
      <c r="G34">
        <v>1</v>
      </c>
      <c r="H34">
        <v>3</v>
      </c>
      <c r="I34" t="s">
        <v>280</v>
      </c>
      <c r="J34" t="s">
        <v>281</v>
      </c>
      <c r="K34" t="s">
        <v>282</v>
      </c>
      <c r="L34">
        <v>1355</v>
      </c>
      <c r="N34">
        <v>1010</v>
      </c>
      <c r="O34" t="s">
        <v>283</v>
      </c>
      <c r="P34" t="s">
        <v>283</v>
      </c>
      <c r="Q34">
        <v>100</v>
      </c>
      <c r="X34">
        <v>4</v>
      </c>
      <c r="Y34">
        <v>50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4</v>
      </c>
      <c r="AH34">
        <v>2</v>
      </c>
      <c r="AI34">
        <v>16481727</v>
      </c>
      <c r="AJ34">
        <v>36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ROW(Source!A32)</f>
        <v>32</v>
      </c>
      <c r="B35">
        <v>16481736</v>
      </c>
      <c r="C35">
        <v>16481722</v>
      </c>
      <c r="D35">
        <v>15204239</v>
      </c>
      <c r="E35">
        <v>1</v>
      </c>
      <c r="F35">
        <v>1</v>
      </c>
      <c r="G35">
        <v>1</v>
      </c>
      <c r="H35">
        <v>3</v>
      </c>
      <c r="I35" t="s">
        <v>284</v>
      </c>
      <c r="J35" t="s">
        <v>285</v>
      </c>
      <c r="K35" t="s">
        <v>286</v>
      </c>
      <c r="L35">
        <v>1354</v>
      </c>
      <c r="N35">
        <v>1010</v>
      </c>
      <c r="O35" t="s">
        <v>287</v>
      </c>
      <c r="P35" t="s">
        <v>287</v>
      </c>
      <c r="Q35">
        <v>1</v>
      </c>
      <c r="X35">
        <v>90.7</v>
      </c>
      <c r="Y35">
        <v>67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90.7</v>
      </c>
      <c r="AH35">
        <v>2</v>
      </c>
      <c r="AI35">
        <v>16481728</v>
      </c>
      <c r="AJ35">
        <v>37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ROW(Source!A33)</f>
        <v>33</v>
      </c>
      <c r="B36">
        <v>16481730</v>
      </c>
      <c r="C36">
        <v>16481722</v>
      </c>
      <c r="D36">
        <v>15430767</v>
      </c>
      <c r="E36">
        <v>1</v>
      </c>
      <c r="F36">
        <v>1</v>
      </c>
      <c r="G36">
        <v>1</v>
      </c>
      <c r="H36">
        <v>1</v>
      </c>
      <c r="I36" t="s">
        <v>288</v>
      </c>
      <c r="J36" t="s">
        <v>6</v>
      </c>
      <c r="K36" t="s">
        <v>289</v>
      </c>
      <c r="L36">
        <v>1191</v>
      </c>
      <c r="N36">
        <v>1013</v>
      </c>
      <c r="O36" t="s">
        <v>254</v>
      </c>
      <c r="P36" t="s">
        <v>254</v>
      </c>
      <c r="Q36">
        <v>1</v>
      </c>
      <c r="X36">
        <v>21.38</v>
      </c>
      <c r="Y36">
        <v>0</v>
      </c>
      <c r="Z36">
        <v>0</v>
      </c>
      <c r="AA36">
        <v>0</v>
      </c>
      <c r="AB36">
        <v>8.5299999999999994</v>
      </c>
      <c r="AC36">
        <v>0</v>
      </c>
      <c r="AD36">
        <v>1</v>
      </c>
      <c r="AE36">
        <v>1</v>
      </c>
      <c r="AF36" t="s">
        <v>6</v>
      </c>
      <c r="AG36">
        <v>21.38</v>
      </c>
      <c r="AH36">
        <v>2</v>
      </c>
      <c r="AI36">
        <v>16481723</v>
      </c>
      <c r="AJ36">
        <v>38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ROW(Source!A33)</f>
        <v>33</v>
      </c>
      <c r="B37">
        <v>16481731</v>
      </c>
      <c r="C37">
        <v>16481722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255</v>
      </c>
      <c r="J37" t="s">
        <v>6</v>
      </c>
      <c r="K37" t="s">
        <v>256</v>
      </c>
      <c r="L37">
        <v>1191</v>
      </c>
      <c r="N37">
        <v>1013</v>
      </c>
      <c r="O37" t="s">
        <v>254</v>
      </c>
      <c r="P37" t="s">
        <v>254</v>
      </c>
      <c r="Q37">
        <v>1</v>
      </c>
      <c r="X37">
        <v>0.37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6</v>
      </c>
      <c r="AG37">
        <v>0.37</v>
      </c>
      <c r="AH37">
        <v>2</v>
      </c>
      <c r="AI37">
        <v>16481724</v>
      </c>
      <c r="AJ37">
        <v>39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ROW(Source!A33)</f>
        <v>33</v>
      </c>
      <c r="B38">
        <v>16481732</v>
      </c>
      <c r="C38">
        <v>16481722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257</v>
      </c>
      <c r="J38" t="s">
        <v>258</v>
      </c>
      <c r="K38" t="s">
        <v>259</v>
      </c>
      <c r="L38">
        <v>1368</v>
      </c>
      <c r="N38">
        <v>1011</v>
      </c>
      <c r="O38" t="s">
        <v>260</v>
      </c>
      <c r="P38" t="s">
        <v>260</v>
      </c>
      <c r="Q38">
        <v>1</v>
      </c>
      <c r="X38">
        <v>7.0000000000000007E-2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7.0000000000000007E-2</v>
      </c>
      <c r="AH38">
        <v>2</v>
      </c>
      <c r="AI38">
        <v>16481725</v>
      </c>
      <c r="AJ38">
        <v>40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ROW(Source!A33)</f>
        <v>33</v>
      </c>
      <c r="B39">
        <v>16481733</v>
      </c>
      <c r="C39">
        <v>16481722</v>
      </c>
      <c r="D39">
        <v>15249073</v>
      </c>
      <c r="E39">
        <v>1</v>
      </c>
      <c r="F39">
        <v>1</v>
      </c>
      <c r="G39">
        <v>1</v>
      </c>
      <c r="H39">
        <v>2</v>
      </c>
      <c r="I39" t="s">
        <v>263</v>
      </c>
      <c r="J39" t="s">
        <v>264</v>
      </c>
      <c r="K39" t="s">
        <v>265</v>
      </c>
      <c r="L39">
        <v>1368</v>
      </c>
      <c r="N39">
        <v>1011</v>
      </c>
      <c r="O39" t="s">
        <v>260</v>
      </c>
      <c r="P39" t="s">
        <v>260</v>
      </c>
      <c r="Q39">
        <v>1</v>
      </c>
      <c r="X39">
        <v>0.3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0.3</v>
      </c>
      <c r="AH39">
        <v>2</v>
      </c>
      <c r="AI39">
        <v>16481726</v>
      </c>
      <c r="AJ39">
        <v>41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ROW(Source!A33)</f>
        <v>33</v>
      </c>
      <c r="B40">
        <v>16481734</v>
      </c>
      <c r="C40">
        <v>16481722</v>
      </c>
      <c r="D40">
        <v>15162469</v>
      </c>
      <c r="E40">
        <v>17</v>
      </c>
      <c r="F40">
        <v>1</v>
      </c>
      <c r="G40">
        <v>1</v>
      </c>
      <c r="H40">
        <v>3</v>
      </c>
      <c r="I40" t="s">
        <v>343</v>
      </c>
      <c r="J40" t="s">
        <v>6</v>
      </c>
      <c r="K40" t="s">
        <v>344</v>
      </c>
      <c r="L40">
        <v>1301</v>
      </c>
      <c r="N40">
        <v>1003</v>
      </c>
      <c r="O40" t="s">
        <v>45</v>
      </c>
      <c r="P40" t="s">
        <v>45</v>
      </c>
      <c r="Q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0</v>
      </c>
      <c r="AF40" t="s">
        <v>6</v>
      </c>
      <c r="AG40">
        <v>0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ROW(Source!A33)</f>
        <v>33</v>
      </c>
      <c r="B41">
        <v>16481735</v>
      </c>
      <c r="C41">
        <v>16481722</v>
      </c>
      <c r="D41">
        <v>15197780</v>
      </c>
      <c r="E41">
        <v>1</v>
      </c>
      <c r="F41">
        <v>1</v>
      </c>
      <c r="G41">
        <v>1</v>
      </c>
      <c r="H41">
        <v>3</v>
      </c>
      <c r="I41" t="s">
        <v>280</v>
      </c>
      <c r="J41" t="s">
        <v>281</v>
      </c>
      <c r="K41" t="s">
        <v>282</v>
      </c>
      <c r="L41">
        <v>1355</v>
      </c>
      <c r="N41">
        <v>1010</v>
      </c>
      <c r="O41" t="s">
        <v>283</v>
      </c>
      <c r="P41" t="s">
        <v>283</v>
      </c>
      <c r="Q41">
        <v>100</v>
      </c>
      <c r="X41">
        <v>4</v>
      </c>
      <c r="Y41">
        <v>50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4</v>
      </c>
      <c r="AH41">
        <v>2</v>
      </c>
      <c r="AI41">
        <v>16481727</v>
      </c>
      <c r="AJ41">
        <v>43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ROW(Source!A33)</f>
        <v>33</v>
      </c>
      <c r="B42">
        <v>16481736</v>
      </c>
      <c r="C42">
        <v>16481722</v>
      </c>
      <c r="D42">
        <v>15204239</v>
      </c>
      <c r="E42">
        <v>1</v>
      </c>
      <c r="F42">
        <v>1</v>
      </c>
      <c r="G42">
        <v>1</v>
      </c>
      <c r="H42">
        <v>3</v>
      </c>
      <c r="I42" t="s">
        <v>284</v>
      </c>
      <c r="J42" t="s">
        <v>285</v>
      </c>
      <c r="K42" t="s">
        <v>286</v>
      </c>
      <c r="L42">
        <v>1354</v>
      </c>
      <c r="N42">
        <v>1010</v>
      </c>
      <c r="O42" t="s">
        <v>287</v>
      </c>
      <c r="P42" t="s">
        <v>287</v>
      </c>
      <c r="Q42">
        <v>1</v>
      </c>
      <c r="X42">
        <v>90.7</v>
      </c>
      <c r="Y42">
        <v>67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90.7</v>
      </c>
      <c r="AH42">
        <v>2</v>
      </c>
      <c r="AI42">
        <v>16481728</v>
      </c>
      <c r="AJ42">
        <v>44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ROW(Source!A36)</f>
        <v>36</v>
      </c>
      <c r="B43">
        <v>16481749</v>
      </c>
      <c r="C43">
        <v>16481738</v>
      </c>
      <c r="D43">
        <v>15430767</v>
      </c>
      <c r="E43">
        <v>1</v>
      </c>
      <c r="F43">
        <v>1</v>
      </c>
      <c r="G43">
        <v>1</v>
      </c>
      <c r="H43">
        <v>1</v>
      </c>
      <c r="I43" t="s">
        <v>288</v>
      </c>
      <c r="J43" t="s">
        <v>6</v>
      </c>
      <c r="K43" t="s">
        <v>289</v>
      </c>
      <c r="L43">
        <v>1191</v>
      </c>
      <c r="N43">
        <v>1013</v>
      </c>
      <c r="O43" t="s">
        <v>254</v>
      </c>
      <c r="P43" t="s">
        <v>254</v>
      </c>
      <c r="Q43">
        <v>1</v>
      </c>
      <c r="X43">
        <v>41.41</v>
      </c>
      <c r="Y43">
        <v>0</v>
      </c>
      <c r="Z43">
        <v>0</v>
      </c>
      <c r="AA43">
        <v>0</v>
      </c>
      <c r="AB43">
        <v>8.5299999999999994</v>
      </c>
      <c r="AC43">
        <v>0</v>
      </c>
      <c r="AD43">
        <v>1</v>
      </c>
      <c r="AE43">
        <v>1</v>
      </c>
      <c r="AF43" t="s">
        <v>6</v>
      </c>
      <c r="AG43">
        <v>41.41</v>
      </c>
      <c r="AH43">
        <v>2</v>
      </c>
      <c r="AI43">
        <v>16481739</v>
      </c>
      <c r="AJ43">
        <v>45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ROW(Source!A36)</f>
        <v>36</v>
      </c>
      <c r="B44">
        <v>16481750</v>
      </c>
      <c r="C44">
        <v>16481738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255</v>
      </c>
      <c r="J44" t="s">
        <v>6</v>
      </c>
      <c r="K44" t="s">
        <v>256</v>
      </c>
      <c r="L44">
        <v>1191</v>
      </c>
      <c r="N44">
        <v>1013</v>
      </c>
      <c r="O44" t="s">
        <v>254</v>
      </c>
      <c r="P44" t="s">
        <v>254</v>
      </c>
      <c r="Q44">
        <v>1</v>
      </c>
      <c r="X44">
        <v>0.12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6</v>
      </c>
      <c r="AG44">
        <v>0.12</v>
      </c>
      <c r="AH44">
        <v>2</v>
      </c>
      <c r="AI44">
        <v>16481740</v>
      </c>
      <c r="AJ44">
        <v>46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ROW(Source!A36)</f>
        <v>36</v>
      </c>
      <c r="B45">
        <v>16481751</v>
      </c>
      <c r="C45">
        <v>16481738</v>
      </c>
      <c r="D45">
        <v>15247974</v>
      </c>
      <c r="E45">
        <v>1</v>
      </c>
      <c r="F45">
        <v>1</v>
      </c>
      <c r="G45">
        <v>1</v>
      </c>
      <c r="H45">
        <v>2</v>
      </c>
      <c r="I45" t="s">
        <v>257</v>
      </c>
      <c r="J45" t="s">
        <v>258</v>
      </c>
      <c r="K45" t="s">
        <v>259</v>
      </c>
      <c r="L45">
        <v>1368</v>
      </c>
      <c r="N45">
        <v>1011</v>
      </c>
      <c r="O45" t="s">
        <v>260</v>
      </c>
      <c r="P45" t="s">
        <v>260</v>
      </c>
      <c r="Q45">
        <v>1</v>
      </c>
      <c r="X45">
        <v>0.08</v>
      </c>
      <c r="Y45">
        <v>0</v>
      </c>
      <c r="Z45">
        <v>31.26</v>
      </c>
      <c r="AA45">
        <v>13.5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0.08</v>
      </c>
      <c r="AH45">
        <v>2</v>
      </c>
      <c r="AI45">
        <v>16481741</v>
      </c>
      <c r="AJ45">
        <v>47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ROW(Source!A36)</f>
        <v>36</v>
      </c>
      <c r="B46">
        <v>16481752</v>
      </c>
      <c r="C46">
        <v>16481738</v>
      </c>
      <c r="D46">
        <v>15249073</v>
      </c>
      <c r="E46">
        <v>1</v>
      </c>
      <c r="F46">
        <v>1</v>
      </c>
      <c r="G46">
        <v>1</v>
      </c>
      <c r="H46">
        <v>2</v>
      </c>
      <c r="I46" t="s">
        <v>263</v>
      </c>
      <c r="J46" t="s">
        <v>264</v>
      </c>
      <c r="K46" t="s">
        <v>265</v>
      </c>
      <c r="L46">
        <v>1368</v>
      </c>
      <c r="N46">
        <v>1011</v>
      </c>
      <c r="O46" t="s">
        <v>260</v>
      </c>
      <c r="P46" t="s">
        <v>260</v>
      </c>
      <c r="Q46">
        <v>1</v>
      </c>
      <c r="X46">
        <v>0.04</v>
      </c>
      <c r="Y46">
        <v>0</v>
      </c>
      <c r="Z46">
        <v>65.709999999999994</v>
      </c>
      <c r="AA46">
        <v>11.6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0.04</v>
      </c>
      <c r="AH46">
        <v>2</v>
      </c>
      <c r="AI46">
        <v>16481742</v>
      </c>
      <c r="AJ46">
        <v>48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ROW(Source!A36)</f>
        <v>36</v>
      </c>
      <c r="B47">
        <v>16481753</v>
      </c>
      <c r="C47">
        <v>16481738</v>
      </c>
      <c r="D47">
        <v>15164566</v>
      </c>
      <c r="E47">
        <v>17</v>
      </c>
      <c r="F47">
        <v>1</v>
      </c>
      <c r="G47">
        <v>1</v>
      </c>
      <c r="H47">
        <v>3</v>
      </c>
      <c r="I47" t="s">
        <v>55</v>
      </c>
      <c r="J47" t="s">
        <v>6</v>
      </c>
      <c r="K47" t="s">
        <v>56</v>
      </c>
      <c r="L47">
        <v>1348</v>
      </c>
      <c r="N47">
        <v>1009</v>
      </c>
      <c r="O47" t="s">
        <v>57</v>
      </c>
      <c r="P47" t="s">
        <v>57</v>
      </c>
      <c r="Q47">
        <v>1000</v>
      </c>
      <c r="X47">
        <v>0.224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6</v>
      </c>
      <c r="AG47">
        <v>0.224</v>
      </c>
      <c r="AH47">
        <v>2</v>
      </c>
      <c r="AI47">
        <v>16481743</v>
      </c>
      <c r="AJ47">
        <v>49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ROW(Source!A36)</f>
        <v>36</v>
      </c>
      <c r="B48">
        <v>16481754</v>
      </c>
      <c r="C48">
        <v>16481738</v>
      </c>
      <c r="D48">
        <v>15170039</v>
      </c>
      <c r="E48">
        <v>1</v>
      </c>
      <c r="F48">
        <v>1</v>
      </c>
      <c r="G48">
        <v>1</v>
      </c>
      <c r="H48">
        <v>3</v>
      </c>
      <c r="I48" t="s">
        <v>290</v>
      </c>
      <c r="J48" t="s">
        <v>291</v>
      </c>
      <c r="K48" t="s">
        <v>292</v>
      </c>
      <c r="L48">
        <v>1348</v>
      </c>
      <c r="N48">
        <v>1009</v>
      </c>
      <c r="O48" t="s">
        <v>57</v>
      </c>
      <c r="P48" t="s">
        <v>57</v>
      </c>
      <c r="Q48">
        <v>1000</v>
      </c>
      <c r="X48">
        <v>4.0000000000000001E-3</v>
      </c>
      <c r="Y48">
        <v>11978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4.0000000000000001E-3</v>
      </c>
      <c r="AH48">
        <v>2</v>
      </c>
      <c r="AI48">
        <v>16481744</v>
      </c>
      <c r="AJ48">
        <v>50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ROW(Source!A36)</f>
        <v>36</v>
      </c>
      <c r="B49">
        <v>16481755</v>
      </c>
      <c r="C49">
        <v>16481738</v>
      </c>
      <c r="D49">
        <v>15191139</v>
      </c>
      <c r="E49">
        <v>1</v>
      </c>
      <c r="F49">
        <v>1</v>
      </c>
      <c r="G49">
        <v>1</v>
      </c>
      <c r="H49">
        <v>3</v>
      </c>
      <c r="I49" t="s">
        <v>293</v>
      </c>
      <c r="J49" t="s">
        <v>294</v>
      </c>
      <c r="K49" t="s">
        <v>295</v>
      </c>
      <c r="L49">
        <v>1348</v>
      </c>
      <c r="N49">
        <v>1009</v>
      </c>
      <c r="O49" t="s">
        <v>57</v>
      </c>
      <c r="P49" t="s">
        <v>57</v>
      </c>
      <c r="Q49">
        <v>1000</v>
      </c>
      <c r="X49">
        <v>6.0000000000000001E-3</v>
      </c>
      <c r="Y49">
        <v>8023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6.0000000000000001E-3</v>
      </c>
      <c r="AH49">
        <v>2</v>
      </c>
      <c r="AI49">
        <v>16481745</v>
      </c>
      <c r="AJ49">
        <v>52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ROW(Source!A36)</f>
        <v>36</v>
      </c>
      <c r="B50">
        <v>16481756</v>
      </c>
      <c r="C50">
        <v>16481738</v>
      </c>
      <c r="D50">
        <v>15164570</v>
      </c>
      <c r="E50">
        <v>17</v>
      </c>
      <c r="F50">
        <v>1</v>
      </c>
      <c r="G50">
        <v>1</v>
      </c>
      <c r="H50">
        <v>3</v>
      </c>
      <c r="I50" t="s">
        <v>59</v>
      </c>
      <c r="J50" t="s">
        <v>6</v>
      </c>
      <c r="K50" t="s">
        <v>60</v>
      </c>
      <c r="L50">
        <v>1348</v>
      </c>
      <c r="N50">
        <v>1009</v>
      </c>
      <c r="O50" t="s">
        <v>57</v>
      </c>
      <c r="P50" t="s">
        <v>57</v>
      </c>
      <c r="Q50">
        <v>1000</v>
      </c>
      <c r="X50">
        <v>0.184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6</v>
      </c>
      <c r="AG50">
        <v>0.184</v>
      </c>
      <c r="AH50">
        <v>2</v>
      </c>
      <c r="AI50">
        <v>16481746</v>
      </c>
      <c r="AJ50">
        <v>53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ROW(Source!A37)</f>
        <v>37</v>
      </c>
      <c r="B51">
        <v>16481749</v>
      </c>
      <c r="C51">
        <v>16481738</v>
      </c>
      <c r="D51">
        <v>15430767</v>
      </c>
      <c r="E51">
        <v>1</v>
      </c>
      <c r="F51">
        <v>1</v>
      </c>
      <c r="G51">
        <v>1</v>
      </c>
      <c r="H51">
        <v>1</v>
      </c>
      <c r="I51" t="s">
        <v>288</v>
      </c>
      <c r="J51" t="s">
        <v>6</v>
      </c>
      <c r="K51" t="s">
        <v>289</v>
      </c>
      <c r="L51">
        <v>1191</v>
      </c>
      <c r="N51">
        <v>1013</v>
      </c>
      <c r="O51" t="s">
        <v>254</v>
      </c>
      <c r="P51" t="s">
        <v>254</v>
      </c>
      <c r="Q51">
        <v>1</v>
      </c>
      <c r="X51">
        <v>41.41</v>
      </c>
      <c r="Y51">
        <v>0</v>
      </c>
      <c r="Z51">
        <v>0</v>
      </c>
      <c r="AA51">
        <v>0</v>
      </c>
      <c r="AB51">
        <v>8.5299999999999994</v>
      </c>
      <c r="AC51">
        <v>0</v>
      </c>
      <c r="AD51">
        <v>1</v>
      </c>
      <c r="AE51">
        <v>1</v>
      </c>
      <c r="AF51" t="s">
        <v>6</v>
      </c>
      <c r="AG51">
        <v>41.41</v>
      </c>
      <c r="AH51">
        <v>2</v>
      </c>
      <c r="AI51">
        <v>16481739</v>
      </c>
      <c r="AJ51">
        <v>55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ROW(Source!A37)</f>
        <v>37</v>
      </c>
      <c r="B52">
        <v>16481750</v>
      </c>
      <c r="C52">
        <v>16481738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255</v>
      </c>
      <c r="J52" t="s">
        <v>6</v>
      </c>
      <c r="K52" t="s">
        <v>256</v>
      </c>
      <c r="L52">
        <v>1191</v>
      </c>
      <c r="N52">
        <v>1013</v>
      </c>
      <c r="O52" t="s">
        <v>254</v>
      </c>
      <c r="P52" t="s">
        <v>254</v>
      </c>
      <c r="Q52">
        <v>1</v>
      </c>
      <c r="X52">
        <v>0.12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6</v>
      </c>
      <c r="AG52">
        <v>0.12</v>
      </c>
      <c r="AH52">
        <v>2</v>
      </c>
      <c r="AI52">
        <v>16481740</v>
      </c>
      <c r="AJ52">
        <v>56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ROW(Source!A37)</f>
        <v>37</v>
      </c>
      <c r="B53">
        <v>16481751</v>
      </c>
      <c r="C53">
        <v>16481738</v>
      </c>
      <c r="D53">
        <v>15247974</v>
      </c>
      <c r="E53">
        <v>1</v>
      </c>
      <c r="F53">
        <v>1</v>
      </c>
      <c r="G53">
        <v>1</v>
      </c>
      <c r="H53">
        <v>2</v>
      </c>
      <c r="I53" t="s">
        <v>257</v>
      </c>
      <c r="J53" t="s">
        <v>258</v>
      </c>
      <c r="K53" t="s">
        <v>259</v>
      </c>
      <c r="L53">
        <v>1368</v>
      </c>
      <c r="N53">
        <v>1011</v>
      </c>
      <c r="O53" t="s">
        <v>260</v>
      </c>
      <c r="P53" t="s">
        <v>260</v>
      </c>
      <c r="Q53">
        <v>1</v>
      </c>
      <c r="X53">
        <v>0.08</v>
      </c>
      <c r="Y53">
        <v>0</v>
      </c>
      <c r="Z53">
        <v>31.26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0.08</v>
      </c>
      <c r="AH53">
        <v>2</v>
      </c>
      <c r="AI53">
        <v>16481741</v>
      </c>
      <c r="AJ53">
        <v>57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ROW(Source!A37)</f>
        <v>37</v>
      </c>
      <c r="B54">
        <v>16481752</v>
      </c>
      <c r="C54">
        <v>16481738</v>
      </c>
      <c r="D54">
        <v>15249073</v>
      </c>
      <c r="E54">
        <v>1</v>
      </c>
      <c r="F54">
        <v>1</v>
      </c>
      <c r="G54">
        <v>1</v>
      </c>
      <c r="H54">
        <v>2</v>
      </c>
      <c r="I54" t="s">
        <v>263</v>
      </c>
      <c r="J54" t="s">
        <v>264</v>
      </c>
      <c r="K54" t="s">
        <v>265</v>
      </c>
      <c r="L54">
        <v>1368</v>
      </c>
      <c r="N54">
        <v>1011</v>
      </c>
      <c r="O54" t="s">
        <v>260</v>
      </c>
      <c r="P54" t="s">
        <v>260</v>
      </c>
      <c r="Q54">
        <v>1</v>
      </c>
      <c r="X54">
        <v>0.04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0.04</v>
      </c>
      <c r="AH54">
        <v>2</v>
      </c>
      <c r="AI54">
        <v>16481742</v>
      </c>
      <c r="AJ54">
        <v>58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ROW(Source!A37)</f>
        <v>37</v>
      </c>
      <c r="B55">
        <v>16481753</v>
      </c>
      <c r="C55">
        <v>16481738</v>
      </c>
      <c r="D55">
        <v>15164566</v>
      </c>
      <c r="E55">
        <v>17</v>
      </c>
      <c r="F55">
        <v>1</v>
      </c>
      <c r="G55">
        <v>1</v>
      </c>
      <c r="H55">
        <v>3</v>
      </c>
      <c r="I55" t="s">
        <v>55</v>
      </c>
      <c r="J55" t="s">
        <v>6</v>
      </c>
      <c r="K55" t="s">
        <v>56</v>
      </c>
      <c r="L55">
        <v>1348</v>
      </c>
      <c r="N55">
        <v>1009</v>
      </c>
      <c r="O55" t="s">
        <v>57</v>
      </c>
      <c r="P55" t="s">
        <v>57</v>
      </c>
      <c r="Q55">
        <v>1000</v>
      </c>
      <c r="X55">
        <v>0.224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 t="s">
        <v>6</v>
      </c>
      <c r="AG55">
        <v>0.224</v>
      </c>
      <c r="AH55">
        <v>2</v>
      </c>
      <c r="AI55">
        <v>16481743</v>
      </c>
      <c r="AJ55">
        <v>59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ROW(Source!A37)</f>
        <v>37</v>
      </c>
      <c r="B56">
        <v>16481754</v>
      </c>
      <c r="C56">
        <v>16481738</v>
      </c>
      <c r="D56">
        <v>15170039</v>
      </c>
      <c r="E56">
        <v>1</v>
      </c>
      <c r="F56">
        <v>1</v>
      </c>
      <c r="G56">
        <v>1</v>
      </c>
      <c r="H56">
        <v>3</v>
      </c>
      <c r="I56" t="s">
        <v>290</v>
      </c>
      <c r="J56" t="s">
        <v>291</v>
      </c>
      <c r="K56" t="s">
        <v>292</v>
      </c>
      <c r="L56">
        <v>1348</v>
      </c>
      <c r="N56">
        <v>1009</v>
      </c>
      <c r="O56" t="s">
        <v>57</v>
      </c>
      <c r="P56" t="s">
        <v>57</v>
      </c>
      <c r="Q56">
        <v>1000</v>
      </c>
      <c r="X56">
        <v>4.0000000000000001E-3</v>
      </c>
      <c r="Y56">
        <v>11978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4.0000000000000001E-3</v>
      </c>
      <c r="AH56">
        <v>2</v>
      </c>
      <c r="AI56">
        <v>16481744</v>
      </c>
      <c r="AJ56">
        <v>60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ROW(Source!A37)</f>
        <v>37</v>
      </c>
      <c r="B57">
        <v>16481755</v>
      </c>
      <c r="C57">
        <v>16481738</v>
      </c>
      <c r="D57">
        <v>15191139</v>
      </c>
      <c r="E57">
        <v>1</v>
      </c>
      <c r="F57">
        <v>1</v>
      </c>
      <c r="G57">
        <v>1</v>
      </c>
      <c r="H57">
        <v>3</v>
      </c>
      <c r="I57" t="s">
        <v>293</v>
      </c>
      <c r="J57" t="s">
        <v>294</v>
      </c>
      <c r="K57" t="s">
        <v>295</v>
      </c>
      <c r="L57">
        <v>1348</v>
      </c>
      <c r="N57">
        <v>1009</v>
      </c>
      <c r="O57" t="s">
        <v>57</v>
      </c>
      <c r="P57" t="s">
        <v>57</v>
      </c>
      <c r="Q57">
        <v>1000</v>
      </c>
      <c r="X57">
        <v>6.0000000000000001E-3</v>
      </c>
      <c r="Y57">
        <v>8023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6</v>
      </c>
      <c r="AG57">
        <v>6.0000000000000001E-3</v>
      </c>
      <c r="AH57">
        <v>2</v>
      </c>
      <c r="AI57">
        <v>16481745</v>
      </c>
      <c r="AJ57">
        <v>62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ROW(Source!A37)</f>
        <v>37</v>
      </c>
      <c r="B58">
        <v>16481756</v>
      </c>
      <c r="C58">
        <v>16481738</v>
      </c>
      <c r="D58">
        <v>15164570</v>
      </c>
      <c r="E58">
        <v>17</v>
      </c>
      <c r="F58">
        <v>1</v>
      </c>
      <c r="G58">
        <v>1</v>
      </c>
      <c r="H58">
        <v>3</v>
      </c>
      <c r="I58" t="s">
        <v>59</v>
      </c>
      <c r="J58" t="s">
        <v>6</v>
      </c>
      <c r="K58" t="s">
        <v>60</v>
      </c>
      <c r="L58">
        <v>1348</v>
      </c>
      <c r="N58">
        <v>1009</v>
      </c>
      <c r="O58" t="s">
        <v>57</v>
      </c>
      <c r="P58" t="s">
        <v>57</v>
      </c>
      <c r="Q58">
        <v>1000</v>
      </c>
      <c r="X58">
        <v>0.184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6</v>
      </c>
      <c r="AG58">
        <v>0.184</v>
      </c>
      <c r="AH58">
        <v>2</v>
      </c>
      <c r="AI58">
        <v>16481746</v>
      </c>
      <c r="AJ58">
        <v>63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ROW(Source!A46)</f>
        <v>46</v>
      </c>
      <c r="B59">
        <v>16481794</v>
      </c>
      <c r="C59">
        <v>16481787</v>
      </c>
      <c r="D59">
        <v>15430497</v>
      </c>
      <c r="E59">
        <v>1</v>
      </c>
      <c r="F59">
        <v>1</v>
      </c>
      <c r="G59">
        <v>1</v>
      </c>
      <c r="H59">
        <v>1</v>
      </c>
      <c r="I59" t="s">
        <v>296</v>
      </c>
      <c r="J59" t="s">
        <v>6</v>
      </c>
      <c r="K59" t="s">
        <v>297</v>
      </c>
      <c r="L59">
        <v>1191</v>
      </c>
      <c r="N59">
        <v>1013</v>
      </c>
      <c r="O59" t="s">
        <v>254</v>
      </c>
      <c r="P59" t="s">
        <v>254</v>
      </c>
      <c r="Q59">
        <v>1</v>
      </c>
      <c r="X59">
        <v>228.35</v>
      </c>
      <c r="Y59">
        <v>0</v>
      </c>
      <c r="Z59">
        <v>0</v>
      </c>
      <c r="AA59">
        <v>0</v>
      </c>
      <c r="AB59">
        <v>8.86</v>
      </c>
      <c r="AC59">
        <v>0</v>
      </c>
      <c r="AD59">
        <v>1</v>
      </c>
      <c r="AE59">
        <v>1</v>
      </c>
      <c r="AF59" t="s">
        <v>6</v>
      </c>
      <c r="AG59">
        <v>228.35</v>
      </c>
      <c r="AH59">
        <v>2</v>
      </c>
      <c r="AI59">
        <v>16481788</v>
      </c>
      <c r="AJ59">
        <v>65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ROW(Source!A46)</f>
        <v>46</v>
      </c>
      <c r="B60">
        <v>16481795</v>
      </c>
      <c r="C60">
        <v>16481787</v>
      </c>
      <c r="D60">
        <v>15430395</v>
      </c>
      <c r="E60">
        <v>1</v>
      </c>
      <c r="F60">
        <v>1</v>
      </c>
      <c r="G60">
        <v>1</v>
      </c>
      <c r="H60">
        <v>1</v>
      </c>
      <c r="I60" t="s">
        <v>255</v>
      </c>
      <c r="J60" t="s">
        <v>6</v>
      </c>
      <c r="K60" t="s">
        <v>256</v>
      </c>
      <c r="L60">
        <v>1191</v>
      </c>
      <c r="N60">
        <v>1013</v>
      </c>
      <c r="O60" t="s">
        <v>254</v>
      </c>
      <c r="P60" t="s">
        <v>254</v>
      </c>
      <c r="Q60">
        <v>1</v>
      </c>
      <c r="X60">
        <v>0.67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2</v>
      </c>
      <c r="AF60" t="s">
        <v>6</v>
      </c>
      <c r="AG60">
        <v>0.67</v>
      </c>
      <c r="AH60">
        <v>2</v>
      </c>
      <c r="AI60">
        <v>16481789</v>
      </c>
      <c r="AJ60">
        <v>66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ROW(Source!A46)</f>
        <v>46</v>
      </c>
      <c r="B61">
        <v>16481796</v>
      </c>
      <c r="C61">
        <v>16481787</v>
      </c>
      <c r="D61">
        <v>15247974</v>
      </c>
      <c r="E61">
        <v>1</v>
      </c>
      <c r="F61">
        <v>1</v>
      </c>
      <c r="G61">
        <v>1</v>
      </c>
      <c r="H61">
        <v>2</v>
      </c>
      <c r="I61" t="s">
        <v>257</v>
      </c>
      <c r="J61" t="s">
        <v>258</v>
      </c>
      <c r="K61" t="s">
        <v>259</v>
      </c>
      <c r="L61">
        <v>1368</v>
      </c>
      <c r="N61">
        <v>1011</v>
      </c>
      <c r="O61" t="s">
        <v>260</v>
      </c>
      <c r="P61" t="s">
        <v>260</v>
      </c>
      <c r="Q61">
        <v>1</v>
      </c>
      <c r="X61">
        <v>0.67</v>
      </c>
      <c r="Y61">
        <v>0</v>
      </c>
      <c r="Z61">
        <v>31.26</v>
      </c>
      <c r="AA61">
        <v>13.5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0.67</v>
      </c>
      <c r="AH61">
        <v>2</v>
      </c>
      <c r="AI61">
        <v>16481790</v>
      </c>
      <c r="AJ61">
        <v>67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ROW(Source!A46)</f>
        <v>46</v>
      </c>
      <c r="B62">
        <v>16481797</v>
      </c>
      <c r="C62">
        <v>16481787</v>
      </c>
      <c r="D62">
        <v>15167286</v>
      </c>
      <c r="E62">
        <v>1</v>
      </c>
      <c r="F62">
        <v>1</v>
      </c>
      <c r="G62">
        <v>1</v>
      </c>
      <c r="H62">
        <v>3</v>
      </c>
      <c r="I62" t="s">
        <v>298</v>
      </c>
      <c r="J62" t="s">
        <v>299</v>
      </c>
      <c r="K62" t="s">
        <v>300</v>
      </c>
      <c r="L62">
        <v>1339</v>
      </c>
      <c r="N62">
        <v>1007</v>
      </c>
      <c r="O62" t="s">
        <v>301</v>
      </c>
      <c r="P62" t="s">
        <v>301</v>
      </c>
      <c r="Q62">
        <v>1</v>
      </c>
      <c r="X62">
        <v>0.35</v>
      </c>
      <c r="Y62">
        <v>2.44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6</v>
      </c>
      <c r="AG62">
        <v>0.35</v>
      </c>
      <c r="AH62">
        <v>2</v>
      </c>
      <c r="AI62">
        <v>16481791</v>
      </c>
      <c r="AJ62">
        <v>68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ROW(Source!A46)</f>
        <v>46</v>
      </c>
      <c r="B63">
        <v>16481798</v>
      </c>
      <c r="C63">
        <v>16481787</v>
      </c>
      <c r="D63">
        <v>15164566</v>
      </c>
      <c r="E63">
        <v>17</v>
      </c>
      <c r="F63">
        <v>1</v>
      </c>
      <c r="G63">
        <v>1</v>
      </c>
      <c r="H63">
        <v>3</v>
      </c>
      <c r="I63" t="s">
        <v>55</v>
      </c>
      <c r="J63" t="s">
        <v>6</v>
      </c>
      <c r="K63" t="s">
        <v>56</v>
      </c>
      <c r="L63">
        <v>1348</v>
      </c>
      <c r="N63">
        <v>1009</v>
      </c>
      <c r="O63" t="s">
        <v>57</v>
      </c>
      <c r="P63" t="s">
        <v>57</v>
      </c>
      <c r="Q63">
        <v>1000</v>
      </c>
      <c r="X63">
        <v>3.38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6</v>
      </c>
      <c r="AG63">
        <v>3.38</v>
      </c>
      <c r="AH63">
        <v>2</v>
      </c>
      <c r="AI63">
        <v>16481792</v>
      </c>
      <c r="AJ63">
        <v>69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ROW(Source!A46)</f>
        <v>46</v>
      </c>
      <c r="B64">
        <v>16481799</v>
      </c>
      <c r="C64">
        <v>16481787</v>
      </c>
      <c r="D64">
        <v>15172875</v>
      </c>
      <c r="E64">
        <v>1</v>
      </c>
      <c r="F64">
        <v>1</v>
      </c>
      <c r="G64">
        <v>1</v>
      </c>
      <c r="H64">
        <v>3</v>
      </c>
      <c r="I64" t="s">
        <v>302</v>
      </c>
      <c r="J64" t="s">
        <v>303</v>
      </c>
      <c r="K64" t="s">
        <v>304</v>
      </c>
      <c r="L64">
        <v>1339</v>
      </c>
      <c r="N64">
        <v>1007</v>
      </c>
      <c r="O64" t="s">
        <v>301</v>
      </c>
      <c r="P64" t="s">
        <v>301</v>
      </c>
      <c r="Q64">
        <v>1</v>
      </c>
      <c r="X64">
        <v>2.2000000000000002</v>
      </c>
      <c r="Y64">
        <v>517.91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2.2000000000000002</v>
      </c>
      <c r="AH64">
        <v>2</v>
      </c>
      <c r="AI64">
        <v>16481793</v>
      </c>
      <c r="AJ64">
        <v>70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ROW(Source!A47)</f>
        <v>47</v>
      </c>
      <c r="B65">
        <v>16481794</v>
      </c>
      <c r="C65">
        <v>16481787</v>
      </c>
      <c r="D65">
        <v>15430497</v>
      </c>
      <c r="E65">
        <v>1</v>
      </c>
      <c r="F65">
        <v>1</v>
      </c>
      <c r="G65">
        <v>1</v>
      </c>
      <c r="H65">
        <v>1</v>
      </c>
      <c r="I65" t="s">
        <v>296</v>
      </c>
      <c r="J65" t="s">
        <v>6</v>
      </c>
      <c r="K65" t="s">
        <v>297</v>
      </c>
      <c r="L65">
        <v>1191</v>
      </c>
      <c r="N65">
        <v>1013</v>
      </c>
      <c r="O65" t="s">
        <v>254</v>
      </c>
      <c r="P65" t="s">
        <v>254</v>
      </c>
      <c r="Q65">
        <v>1</v>
      </c>
      <c r="X65">
        <v>228.35</v>
      </c>
      <c r="Y65">
        <v>0</v>
      </c>
      <c r="Z65">
        <v>0</v>
      </c>
      <c r="AA65">
        <v>0</v>
      </c>
      <c r="AB65">
        <v>8.86</v>
      </c>
      <c r="AC65">
        <v>0</v>
      </c>
      <c r="AD65">
        <v>1</v>
      </c>
      <c r="AE65">
        <v>1</v>
      </c>
      <c r="AF65" t="s">
        <v>6</v>
      </c>
      <c r="AG65">
        <v>228.35</v>
      </c>
      <c r="AH65">
        <v>2</v>
      </c>
      <c r="AI65">
        <v>16481788</v>
      </c>
      <c r="AJ65">
        <v>71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ROW(Source!A47)</f>
        <v>47</v>
      </c>
      <c r="B66">
        <v>16481795</v>
      </c>
      <c r="C66">
        <v>16481787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255</v>
      </c>
      <c r="J66" t="s">
        <v>6</v>
      </c>
      <c r="K66" t="s">
        <v>256</v>
      </c>
      <c r="L66">
        <v>1191</v>
      </c>
      <c r="N66">
        <v>1013</v>
      </c>
      <c r="O66" t="s">
        <v>254</v>
      </c>
      <c r="P66" t="s">
        <v>254</v>
      </c>
      <c r="Q66">
        <v>1</v>
      </c>
      <c r="X66">
        <v>0.67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6</v>
      </c>
      <c r="AG66">
        <v>0.67</v>
      </c>
      <c r="AH66">
        <v>2</v>
      </c>
      <c r="AI66">
        <v>16481789</v>
      </c>
      <c r="AJ66">
        <v>72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ROW(Source!A47)</f>
        <v>47</v>
      </c>
      <c r="B67">
        <v>16481796</v>
      </c>
      <c r="C67">
        <v>16481787</v>
      </c>
      <c r="D67">
        <v>15247974</v>
      </c>
      <c r="E67">
        <v>1</v>
      </c>
      <c r="F67">
        <v>1</v>
      </c>
      <c r="G67">
        <v>1</v>
      </c>
      <c r="H67">
        <v>2</v>
      </c>
      <c r="I67" t="s">
        <v>257</v>
      </c>
      <c r="J67" t="s">
        <v>258</v>
      </c>
      <c r="K67" t="s">
        <v>259</v>
      </c>
      <c r="L67">
        <v>1368</v>
      </c>
      <c r="N67">
        <v>1011</v>
      </c>
      <c r="O67" t="s">
        <v>260</v>
      </c>
      <c r="P67" t="s">
        <v>260</v>
      </c>
      <c r="Q67">
        <v>1</v>
      </c>
      <c r="X67">
        <v>0.67</v>
      </c>
      <c r="Y67">
        <v>0</v>
      </c>
      <c r="Z67">
        <v>31.26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0.67</v>
      </c>
      <c r="AH67">
        <v>2</v>
      </c>
      <c r="AI67">
        <v>16481790</v>
      </c>
      <c r="AJ67">
        <v>73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ROW(Source!A47)</f>
        <v>47</v>
      </c>
      <c r="B68">
        <v>16481797</v>
      </c>
      <c r="C68">
        <v>16481787</v>
      </c>
      <c r="D68">
        <v>15167286</v>
      </c>
      <c r="E68">
        <v>1</v>
      </c>
      <c r="F68">
        <v>1</v>
      </c>
      <c r="G68">
        <v>1</v>
      </c>
      <c r="H68">
        <v>3</v>
      </c>
      <c r="I68" t="s">
        <v>298</v>
      </c>
      <c r="J68" t="s">
        <v>299</v>
      </c>
      <c r="K68" t="s">
        <v>300</v>
      </c>
      <c r="L68">
        <v>1339</v>
      </c>
      <c r="N68">
        <v>1007</v>
      </c>
      <c r="O68" t="s">
        <v>301</v>
      </c>
      <c r="P68" t="s">
        <v>301</v>
      </c>
      <c r="Q68">
        <v>1</v>
      </c>
      <c r="X68">
        <v>0.35</v>
      </c>
      <c r="Y68">
        <v>2.44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6</v>
      </c>
      <c r="AG68">
        <v>0.35</v>
      </c>
      <c r="AH68">
        <v>2</v>
      </c>
      <c r="AI68">
        <v>16481791</v>
      </c>
      <c r="AJ68">
        <v>74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ROW(Source!A47)</f>
        <v>47</v>
      </c>
      <c r="B69">
        <v>16481798</v>
      </c>
      <c r="C69">
        <v>16481787</v>
      </c>
      <c r="D69">
        <v>15164566</v>
      </c>
      <c r="E69">
        <v>17</v>
      </c>
      <c r="F69">
        <v>1</v>
      </c>
      <c r="G69">
        <v>1</v>
      </c>
      <c r="H69">
        <v>3</v>
      </c>
      <c r="I69" t="s">
        <v>55</v>
      </c>
      <c r="J69" t="s">
        <v>6</v>
      </c>
      <c r="K69" t="s">
        <v>56</v>
      </c>
      <c r="L69">
        <v>1348</v>
      </c>
      <c r="N69">
        <v>1009</v>
      </c>
      <c r="O69" t="s">
        <v>57</v>
      </c>
      <c r="P69" t="s">
        <v>57</v>
      </c>
      <c r="Q69">
        <v>1000</v>
      </c>
      <c r="X69">
        <v>3.38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 t="s">
        <v>6</v>
      </c>
      <c r="AG69">
        <v>3.38</v>
      </c>
      <c r="AH69">
        <v>2</v>
      </c>
      <c r="AI69">
        <v>16481792</v>
      </c>
      <c r="AJ69">
        <v>75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ROW(Source!A47)</f>
        <v>47</v>
      </c>
      <c r="B70">
        <v>16481799</v>
      </c>
      <c r="C70">
        <v>16481787</v>
      </c>
      <c r="D70">
        <v>15172875</v>
      </c>
      <c r="E70">
        <v>1</v>
      </c>
      <c r="F70">
        <v>1</v>
      </c>
      <c r="G70">
        <v>1</v>
      </c>
      <c r="H70">
        <v>3</v>
      </c>
      <c r="I70" t="s">
        <v>302</v>
      </c>
      <c r="J70" t="s">
        <v>303</v>
      </c>
      <c r="K70" t="s">
        <v>304</v>
      </c>
      <c r="L70">
        <v>1339</v>
      </c>
      <c r="N70">
        <v>1007</v>
      </c>
      <c r="O70" t="s">
        <v>301</v>
      </c>
      <c r="P70" t="s">
        <v>301</v>
      </c>
      <c r="Q70">
        <v>1</v>
      </c>
      <c r="X70">
        <v>2.2000000000000002</v>
      </c>
      <c r="Y70">
        <v>517.91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2.2000000000000002</v>
      </c>
      <c r="AH70">
        <v>2</v>
      </c>
      <c r="AI70">
        <v>16481793</v>
      </c>
      <c r="AJ70">
        <v>76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ROW(Source!A50)</f>
        <v>50</v>
      </c>
      <c r="B71">
        <v>16481815</v>
      </c>
      <c r="C71">
        <v>16481801</v>
      </c>
      <c r="D71">
        <v>15435099</v>
      </c>
      <c r="E71">
        <v>1</v>
      </c>
      <c r="F71">
        <v>1</v>
      </c>
      <c r="G71">
        <v>1</v>
      </c>
      <c r="H71">
        <v>1</v>
      </c>
      <c r="I71" t="s">
        <v>305</v>
      </c>
      <c r="J71" t="s">
        <v>6</v>
      </c>
      <c r="K71" t="s">
        <v>306</v>
      </c>
      <c r="L71">
        <v>1191</v>
      </c>
      <c r="N71">
        <v>1013</v>
      </c>
      <c r="O71" t="s">
        <v>254</v>
      </c>
      <c r="P71" t="s">
        <v>254</v>
      </c>
      <c r="Q71">
        <v>1</v>
      </c>
      <c r="X71">
        <v>29.6</v>
      </c>
      <c r="Y71">
        <v>0</v>
      </c>
      <c r="Z71">
        <v>0</v>
      </c>
      <c r="AA71">
        <v>0</v>
      </c>
      <c r="AB71">
        <v>8.64</v>
      </c>
      <c r="AC71">
        <v>0</v>
      </c>
      <c r="AD71">
        <v>1</v>
      </c>
      <c r="AE71">
        <v>1</v>
      </c>
      <c r="AF71" t="s">
        <v>6</v>
      </c>
      <c r="AG71">
        <v>29.6</v>
      </c>
      <c r="AH71">
        <v>2</v>
      </c>
      <c r="AI71">
        <v>16481802</v>
      </c>
      <c r="AJ71">
        <v>77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ROW(Source!A50)</f>
        <v>50</v>
      </c>
      <c r="B72">
        <v>16481816</v>
      </c>
      <c r="C72">
        <v>16481801</v>
      </c>
      <c r="D72">
        <v>15430395</v>
      </c>
      <c r="E72">
        <v>1</v>
      </c>
      <c r="F72">
        <v>1</v>
      </c>
      <c r="G72">
        <v>1</v>
      </c>
      <c r="H72">
        <v>1</v>
      </c>
      <c r="I72" t="s">
        <v>255</v>
      </c>
      <c r="J72" t="s">
        <v>6</v>
      </c>
      <c r="K72" t="s">
        <v>256</v>
      </c>
      <c r="L72">
        <v>1191</v>
      </c>
      <c r="N72">
        <v>1013</v>
      </c>
      <c r="O72" t="s">
        <v>254</v>
      </c>
      <c r="P72" t="s">
        <v>254</v>
      </c>
      <c r="Q72">
        <v>1</v>
      </c>
      <c r="X72">
        <v>0.16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2</v>
      </c>
      <c r="AF72" t="s">
        <v>6</v>
      </c>
      <c r="AG72">
        <v>0.16</v>
      </c>
      <c r="AH72">
        <v>2</v>
      </c>
      <c r="AI72">
        <v>16481803</v>
      </c>
      <c r="AJ72">
        <v>78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ROW(Source!A50)</f>
        <v>50</v>
      </c>
      <c r="B73">
        <v>16481817</v>
      </c>
      <c r="C73">
        <v>16481801</v>
      </c>
      <c r="D73">
        <v>15247974</v>
      </c>
      <c r="E73">
        <v>1</v>
      </c>
      <c r="F73">
        <v>1</v>
      </c>
      <c r="G73">
        <v>1</v>
      </c>
      <c r="H73">
        <v>2</v>
      </c>
      <c r="I73" t="s">
        <v>257</v>
      </c>
      <c r="J73" t="s">
        <v>258</v>
      </c>
      <c r="K73" t="s">
        <v>259</v>
      </c>
      <c r="L73">
        <v>1368</v>
      </c>
      <c r="N73">
        <v>1011</v>
      </c>
      <c r="O73" t="s">
        <v>260</v>
      </c>
      <c r="P73" t="s">
        <v>260</v>
      </c>
      <c r="Q73">
        <v>1</v>
      </c>
      <c r="X73">
        <v>0.1</v>
      </c>
      <c r="Y73">
        <v>0</v>
      </c>
      <c r="Z73">
        <v>31.26</v>
      </c>
      <c r="AA73">
        <v>13.5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0.1</v>
      </c>
      <c r="AH73">
        <v>2</v>
      </c>
      <c r="AI73">
        <v>16481804</v>
      </c>
      <c r="AJ73">
        <v>79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ROW(Source!A50)</f>
        <v>50</v>
      </c>
      <c r="B74">
        <v>16481818</v>
      </c>
      <c r="C74">
        <v>16481801</v>
      </c>
      <c r="D74">
        <v>15249073</v>
      </c>
      <c r="E74">
        <v>1</v>
      </c>
      <c r="F74">
        <v>1</v>
      </c>
      <c r="G74">
        <v>1</v>
      </c>
      <c r="H74">
        <v>2</v>
      </c>
      <c r="I74" t="s">
        <v>263</v>
      </c>
      <c r="J74" t="s">
        <v>264</v>
      </c>
      <c r="K74" t="s">
        <v>265</v>
      </c>
      <c r="L74">
        <v>1368</v>
      </c>
      <c r="N74">
        <v>1011</v>
      </c>
      <c r="O74" t="s">
        <v>260</v>
      </c>
      <c r="P74" t="s">
        <v>260</v>
      </c>
      <c r="Q74">
        <v>1</v>
      </c>
      <c r="X74">
        <v>0.06</v>
      </c>
      <c r="Y74">
        <v>0</v>
      </c>
      <c r="Z74">
        <v>65.709999999999994</v>
      </c>
      <c r="AA74">
        <v>11.6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0.06</v>
      </c>
      <c r="AH74">
        <v>2</v>
      </c>
      <c r="AI74">
        <v>16481805</v>
      </c>
      <c r="AJ74">
        <v>80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ROW(Source!A50)</f>
        <v>50</v>
      </c>
      <c r="B75">
        <v>16481819</v>
      </c>
      <c r="C75">
        <v>16481801</v>
      </c>
      <c r="D75">
        <v>15167286</v>
      </c>
      <c r="E75">
        <v>1</v>
      </c>
      <c r="F75">
        <v>1</v>
      </c>
      <c r="G75">
        <v>1</v>
      </c>
      <c r="H75">
        <v>3</v>
      </c>
      <c r="I75" t="s">
        <v>298</v>
      </c>
      <c r="J75" t="s">
        <v>299</v>
      </c>
      <c r="K75" t="s">
        <v>300</v>
      </c>
      <c r="L75">
        <v>1339</v>
      </c>
      <c r="N75">
        <v>1007</v>
      </c>
      <c r="O75" t="s">
        <v>301</v>
      </c>
      <c r="P75" t="s">
        <v>301</v>
      </c>
      <c r="Q75">
        <v>1</v>
      </c>
      <c r="X75">
        <v>0.24</v>
      </c>
      <c r="Y75">
        <v>2.44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6</v>
      </c>
      <c r="AG75">
        <v>0.24</v>
      </c>
      <c r="AH75">
        <v>2</v>
      </c>
      <c r="AI75">
        <v>16481806</v>
      </c>
      <c r="AJ75">
        <v>81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ROW(Source!A50)</f>
        <v>50</v>
      </c>
      <c r="B76">
        <v>16481820</v>
      </c>
      <c r="C76">
        <v>16481801</v>
      </c>
      <c r="D76">
        <v>15167766</v>
      </c>
      <c r="E76">
        <v>1</v>
      </c>
      <c r="F76">
        <v>1</v>
      </c>
      <c r="G76">
        <v>1</v>
      </c>
      <c r="H76">
        <v>3</v>
      </c>
      <c r="I76" t="s">
        <v>307</v>
      </c>
      <c r="J76" t="s">
        <v>308</v>
      </c>
      <c r="K76" t="s">
        <v>309</v>
      </c>
      <c r="L76">
        <v>1354</v>
      </c>
      <c r="N76">
        <v>1010</v>
      </c>
      <c r="O76" t="s">
        <v>287</v>
      </c>
      <c r="P76" t="s">
        <v>287</v>
      </c>
      <c r="Q76">
        <v>1</v>
      </c>
      <c r="X76">
        <v>5.0999999999999996</v>
      </c>
      <c r="Y76">
        <v>4.5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5.0999999999999996</v>
      </c>
      <c r="AH76">
        <v>2</v>
      </c>
      <c r="AI76">
        <v>16481807</v>
      </c>
      <c r="AJ76">
        <v>82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ROW(Source!A50)</f>
        <v>50</v>
      </c>
      <c r="B77">
        <v>16481821</v>
      </c>
      <c r="C77">
        <v>16481801</v>
      </c>
      <c r="D77">
        <v>15168015</v>
      </c>
      <c r="E77">
        <v>1</v>
      </c>
      <c r="F77">
        <v>1</v>
      </c>
      <c r="G77">
        <v>1</v>
      </c>
      <c r="H77">
        <v>3</v>
      </c>
      <c r="I77" t="s">
        <v>310</v>
      </c>
      <c r="J77" t="s">
        <v>311</v>
      </c>
      <c r="K77" t="s">
        <v>312</v>
      </c>
      <c r="L77">
        <v>1348</v>
      </c>
      <c r="N77">
        <v>1009</v>
      </c>
      <c r="O77" t="s">
        <v>57</v>
      </c>
      <c r="P77" t="s">
        <v>57</v>
      </c>
      <c r="Q77">
        <v>1000</v>
      </c>
      <c r="X77">
        <v>2.5499999999999998E-2</v>
      </c>
      <c r="Y77">
        <v>586.47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2.5499999999999998E-2</v>
      </c>
      <c r="AH77">
        <v>2</v>
      </c>
      <c r="AI77">
        <v>16481808</v>
      </c>
      <c r="AJ77">
        <v>83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ROW(Source!A50)</f>
        <v>50</v>
      </c>
      <c r="B78">
        <v>16481822</v>
      </c>
      <c r="C78">
        <v>16481801</v>
      </c>
      <c r="D78">
        <v>15170682</v>
      </c>
      <c r="E78">
        <v>1</v>
      </c>
      <c r="F78">
        <v>1</v>
      </c>
      <c r="G78">
        <v>1</v>
      </c>
      <c r="H78">
        <v>3</v>
      </c>
      <c r="I78" t="s">
        <v>313</v>
      </c>
      <c r="J78" t="s">
        <v>314</v>
      </c>
      <c r="K78" t="s">
        <v>315</v>
      </c>
      <c r="L78">
        <v>1327</v>
      </c>
      <c r="N78">
        <v>1005</v>
      </c>
      <c r="O78" t="s">
        <v>32</v>
      </c>
      <c r="P78" t="s">
        <v>32</v>
      </c>
      <c r="Q78">
        <v>1</v>
      </c>
      <c r="X78">
        <v>1.6</v>
      </c>
      <c r="Y78">
        <v>72.319999999999993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1.6</v>
      </c>
      <c r="AH78">
        <v>2</v>
      </c>
      <c r="AI78">
        <v>16481809</v>
      </c>
      <c r="AJ78">
        <v>84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ROW(Source!A50)</f>
        <v>50</v>
      </c>
      <c r="B79">
        <v>16481823</v>
      </c>
      <c r="C79">
        <v>16481801</v>
      </c>
      <c r="D79">
        <v>15171907</v>
      </c>
      <c r="E79">
        <v>1</v>
      </c>
      <c r="F79">
        <v>1</v>
      </c>
      <c r="G79">
        <v>1</v>
      </c>
      <c r="H79">
        <v>3</v>
      </c>
      <c r="I79" t="s">
        <v>316</v>
      </c>
      <c r="J79" t="s">
        <v>317</v>
      </c>
      <c r="K79" t="s">
        <v>318</v>
      </c>
      <c r="L79">
        <v>1339</v>
      </c>
      <c r="N79">
        <v>1007</v>
      </c>
      <c r="O79" t="s">
        <v>301</v>
      </c>
      <c r="P79" t="s">
        <v>301</v>
      </c>
      <c r="Q79">
        <v>1</v>
      </c>
      <c r="X79">
        <v>4.4000000000000003E-3</v>
      </c>
      <c r="Y79">
        <v>74.58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4.4000000000000003E-3</v>
      </c>
      <c r="AH79">
        <v>2</v>
      </c>
      <c r="AI79">
        <v>16481810</v>
      </c>
      <c r="AJ79">
        <v>85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ROW(Source!A50)</f>
        <v>50</v>
      </c>
      <c r="B80">
        <v>16481824</v>
      </c>
      <c r="C80">
        <v>16481801</v>
      </c>
      <c r="D80">
        <v>15202490</v>
      </c>
      <c r="E80">
        <v>1</v>
      </c>
      <c r="F80">
        <v>1</v>
      </c>
      <c r="G80">
        <v>1</v>
      </c>
      <c r="H80">
        <v>3</v>
      </c>
      <c r="I80" t="s">
        <v>319</v>
      </c>
      <c r="J80" t="s">
        <v>320</v>
      </c>
      <c r="K80" t="s">
        <v>321</v>
      </c>
      <c r="L80">
        <v>1346</v>
      </c>
      <c r="N80">
        <v>1009</v>
      </c>
      <c r="O80" t="s">
        <v>322</v>
      </c>
      <c r="P80" t="s">
        <v>322</v>
      </c>
      <c r="Q80">
        <v>1</v>
      </c>
      <c r="X80">
        <v>4.0199999999999996</v>
      </c>
      <c r="Y80">
        <v>8.09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6</v>
      </c>
      <c r="AG80">
        <v>4.0199999999999996</v>
      </c>
      <c r="AH80">
        <v>2</v>
      </c>
      <c r="AI80">
        <v>16481811</v>
      </c>
      <c r="AJ80">
        <v>86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ROW(Source!A50)</f>
        <v>50</v>
      </c>
      <c r="B81">
        <v>16481825</v>
      </c>
      <c r="C81">
        <v>16481801</v>
      </c>
      <c r="D81">
        <v>15163054</v>
      </c>
      <c r="E81">
        <v>17</v>
      </c>
      <c r="F81">
        <v>1</v>
      </c>
      <c r="G81">
        <v>1</v>
      </c>
      <c r="H81">
        <v>3</v>
      </c>
      <c r="I81" t="s">
        <v>84</v>
      </c>
      <c r="J81" t="s">
        <v>6</v>
      </c>
      <c r="K81" t="s">
        <v>85</v>
      </c>
      <c r="L81">
        <v>1348</v>
      </c>
      <c r="N81">
        <v>1009</v>
      </c>
      <c r="O81" t="s">
        <v>57</v>
      </c>
      <c r="P81" t="s">
        <v>57</v>
      </c>
      <c r="Q81">
        <v>1000</v>
      </c>
      <c r="X81">
        <v>7.0999999999999994E-2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6</v>
      </c>
      <c r="AG81">
        <v>7.0999999999999994E-2</v>
      </c>
      <c r="AH81">
        <v>2</v>
      </c>
      <c r="AI81">
        <v>16481812</v>
      </c>
      <c r="AJ81">
        <v>87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ROW(Source!A50)</f>
        <v>50</v>
      </c>
      <c r="B82">
        <v>16481826</v>
      </c>
      <c r="C82">
        <v>16481801</v>
      </c>
      <c r="D82">
        <v>15204729</v>
      </c>
      <c r="E82">
        <v>1</v>
      </c>
      <c r="F82">
        <v>1</v>
      </c>
      <c r="G82">
        <v>1</v>
      </c>
      <c r="H82">
        <v>3</v>
      </c>
      <c r="I82" t="s">
        <v>323</v>
      </c>
      <c r="J82" t="s">
        <v>324</v>
      </c>
      <c r="K82" t="s">
        <v>325</v>
      </c>
      <c r="L82">
        <v>1348</v>
      </c>
      <c r="N82">
        <v>1009</v>
      </c>
      <c r="O82" t="s">
        <v>57</v>
      </c>
      <c r="P82" t="s">
        <v>57</v>
      </c>
      <c r="Q82">
        <v>1000</v>
      </c>
      <c r="X82">
        <v>7.1999999999999995E-2</v>
      </c>
      <c r="Y82">
        <v>4294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6</v>
      </c>
      <c r="AG82">
        <v>7.1999999999999995E-2</v>
      </c>
      <c r="AH82">
        <v>2</v>
      </c>
      <c r="AI82">
        <v>16481813</v>
      </c>
      <c r="AJ82">
        <v>89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ROW(Source!A51)</f>
        <v>51</v>
      </c>
      <c r="B83">
        <v>16481815</v>
      </c>
      <c r="C83">
        <v>16481801</v>
      </c>
      <c r="D83">
        <v>15435099</v>
      </c>
      <c r="E83">
        <v>1</v>
      </c>
      <c r="F83">
        <v>1</v>
      </c>
      <c r="G83">
        <v>1</v>
      </c>
      <c r="H83">
        <v>1</v>
      </c>
      <c r="I83" t="s">
        <v>305</v>
      </c>
      <c r="J83" t="s">
        <v>6</v>
      </c>
      <c r="K83" t="s">
        <v>306</v>
      </c>
      <c r="L83">
        <v>1191</v>
      </c>
      <c r="N83">
        <v>1013</v>
      </c>
      <c r="O83" t="s">
        <v>254</v>
      </c>
      <c r="P83" t="s">
        <v>254</v>
      </c>
      <c r="Q83">
        <v>1</v>
      </c>
      <c r="X83">
        <v>29.6</v>
      </c>
      <c r="Y83">
        <v>0</v>
      </c>
      <c r="Z83">
        <v>0</v>
      </c>
      <c r="AA83">
        <v>0</v>
      </c>
      <c r="AB83">
        <v>8.64</v>
      </c>
      <c r="AC83">
        <v>0</v>
      </c>
      <c r="AD83">
        <v>1</v>
      </c>
      <c r="AE83">
        <v>1</v>
      </c>
      <c r="AF83" t="s">
        <v>6</v>
      </c>
      <c r="AG83">
        <v>29.6</v>
      </c>
      <c r="AH83">
        <v>2</v>
      </c>
      <c r="AI83">
        <v>16481802</v>
      </c>
      <c r="AJ83">
        <v>90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ROW(Source!A51)</f>
        <v>51</v>
      </c>
      <c r="B84">
        <v>16481816</v>
      </c>
      <c r="C84">
        <v>16481801</v>
      </c>
      <c r="D84">
        <v>15430395</v>
      </c>
      <c r="E84">
        <v>1</v>
      </c>
      <c r="F84">
        <v>1</v>
      </c>
      <c r="G84">
        <v>1</v>
      </c>
      <c r="H84">
        <v>1</v>
      </c>
      <c r="I84" t="s">
        <v>255</v>
      </c>
      <c r="J84" t="s">
        <v>6</v>
      </c>
      <c r="K84" t="s">
        <v>256</v>
      </c>
      <c r="L84">
        <v>1191</v>
      </c>
      <c r="N84">
        <v>1013</v>
      </c>
      <c r="O84" t="s">
        <v>254</v>
      </c>
      <c r="P84" t="s">
        <v>254</v>
      </c>
      <c r="Q84">
        <v>1</v>
      </c>
      <c r="X84">
        <v>0.16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6</v>
      </c>
      <c r="AG84">
        <v>0.16</v>
      </c>
      <c r="AH84">
        <v>2</v>
      </c>
      <c r="AI84">
        <v>16481803</v>
      </c>
      <c r="AJ84">
        <v>91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ROW(Source!A51)</f>
        <v>51</v>
      </c>
      <c r="B85">
        <v>16481817</v>
      </c>
      <c r="C85">
        <v>16481801</v>
      </c>
      <c r="D85">
        <v>15247974</v>
      </c>
      <c r="E85">
        <v>1</v>
      </c>
      <c r="F85">
        <v>1</v>
      </c>
      <c r="G85">
        <v>1</v>
      </c>
      <c r="H85">
        <v>2</v>
      </c>
      <c r="I85" t="s">
        <v>257</v>
      </c>
      <c r="J85" t="s">
        <v>258</v>
      </c>
      <c r="K85" t="s">
        <v>259</v>
      </c>
      <c r="L85">
        <v>1368</v>
      </c>
      <c r="N85">
        <v>1011</v>
      </c>
      <c r="O85" t="s">
        <v>260</v>
      </c>
      <c r="P85" t="s">
        <v>260</v>
      </c>
      <c r="Q85">
        <v>1</v>
      </c>
      <c r="X85">
        <v>0.1</v>
      </c>
      <c r="Y85">
        <v>0</v>
      </c>
      <c r="Z85">
        <v>31.26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0.1</v>
      </c>
      <c r="AH85">
        <v>2</v>
      </c>
      <c r="AI85">
        <v>16481804</v>
      </c>
      <c r="AJ85">
        <v>92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ROW(Source!A51)</f>
        <v>51</v>
      </c>
      <c r="B86">
        <v>16481818</v>
      </c>
      <c r="C86">
        <v>16481801</v>
      </c>
      <c r="D86">
        <v>15249073</v>
      </c>
      <c r="E86">
        <v>1</v>
      </c>
      <c r="F86">
        <v>1</v>
      </c>
      <c r="G86">
        <v>1</v>
      </c>
      <c r="H86">
        <v>2</v>
      </c>
      <c r="I86" t="s">
        <v>263</v>
      </c>
      <c r="J86" t="s">
        <v>264</v>
      </c>
      <c r="K86" t="s">
        <v>265</v>
      </c>
      <c r="L86">
        <v>1368</v>
      </c>
      <c r="N86">
        <v>1011</v>
      </c>
      <c r="O86" t="s">
        <v>260</v>
      </c>
      <c r="P86" t="s">
        <v>260</v>
      </c>
      <c r="Q86">
        <v>1</v>
      </c>
      <c r="X86">
        <v>0.06</v>
      </c>
      <c r="Y86">
        <v>0</v>
      </c>
      <c r="Z86">
        <v>65.709999999999994</v>
      </c>
      <c r="AA86">
        <v>11.6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0.06</v>
      </c>
      <c r="AH86">
        <v>2</v>
      </c>
      <c r="AI86">
        <v>16481805</v>
      </c>
      <c r="AJ86">
        <v>93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ROW(Source!A51)</f>
        <v>51</v>
      </c>
      <c r="B87">
        <v>16481819</v>
      </c>
      <c r="C87">
        <v>16481801</v>
      </c>
      <c r="D87">
        <v>15167286</v>
      </c>
      <c r="E87">
        <v>1</v>
      </c>
      <c r="F87">
        <v>1</v>
      </c>
      <c r="G87">
        <v>1</v>
      </c>
      <c r="H87">
        <v>3</v>
      </c>
      <c r="I87" t="s">
        <v>298</v>
      </c>
      <c r="J87" t="s">
        <v>299</v>
      </c>
      <c r="K87" t="s">
        <v>300</v>
      </c>
      <c r="L87">
        <v>1339</v>
      </c>
      <c r="N87">
        <v>1007</v>
      </c>
      <c r="O87" t="s">
        <v>301</v>
      </c>
      <c r="P87" t="s">
        <v>301</v>
      </c>
      <c r="Q87">
        <v>1</v>
      </c>
      <c r="X87">
        <v>0.24</v>
      </c>
      <c r="Y87">
        <v>2.44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</v>
      </c>
      <c r="AG87">
        <v>0.24</v>
      </c>
      <c r="AH87">
        <v>2</v>
      </c>
      <c r="AI87">
        <v>16481806</v>
      </c>
      <c r="AJ87">
        <v>94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ROW(Source!A51)</f>
        <v>51</v>
      </c>
      <c r="B88">
        <v>16481820</v>
      </c>
      <c r="C88">
        <v>16481801</v>
      </c>
      <c r="D88">
        <v>15167766</v>
      </c>
      <c r="E88">
        <v>1</v>
      </c>
      <c r="F88">
        <v>1</v>
      </c>
      <c r="G88">
        <v>1</v>
      </c>
      <c r="H88">
        <v>3</v>
      </c>
      <c r="I88" t="s">
        <v>307</v>
      </c>
      <c r="J88" t="s">
        <v>308</v>
      </c>
      <c r="K88" t="s">
        <v>309</v>
      </c>
      <c r="L88">
        <v>1354</v>
      </c>
      <c r="N88">
        <v>1010</v>
      </c>
      <c r="O88" t="s">
        <v>287</v>
      </c>
      <c r="P88" t="s">
        <v>287</v>
      </c>
      <c r="Q88">
        <v>1</v>
      </c>
      <c r="X88">
        <v>5.0999999999999996</v>
      </c>
      <c r="Y88">
        <v>4.5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5.0999999999999996</v>
      </c>
      <c r="AH88">
        <v>2</v>
      </c>
      <c r="AI88">
        <v>16481807</v>
      </c>
      <c r="AJ88">
        <v>95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ROW(Source!A51)</f>
        <v>51</v>
      </c>
      <c r="B89">
        <v>16481821</v>
      </c>
      <c r="C89">
        <v>16481801</v>
      </c>
      <c r="D89">
        <v>15168015</v>
      </c>
      <c r="E89">
        <v>1</v>
      </c>
      <c r="F89">
        <v>1</v>
      </c>
      <c r="G89">
        <v>1</v>
      </c>
      <c r="H89">
        <v>3</v>
      </c>
      <c r="I89" t="s">
        <v>310</v>
      </c>
      <c r="J89" t="s">
        <v>311</v>
      </c>
      <c r="K89" t="s">
        <v>312</v>
      </c>
      <c r="L89">
        <v>1348</v>
      </c>
      <c r="N89">
        <v>1009</v>
      </c>
      <c r="O89" t="s">
        <v>57</v>
      </c>
      <c r="P89" t="s">
        <v>57</v>
      </c>
      <c r="Q89">
        <v>1000</v>
      </c>
      <c r="X89">
        <v>2.5499999999999998E-2</v>
      </c>
      <c r="Y89">
        <v>586.47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2.5499999999999998E-2</v>
      </c>
      <c r="AH89">
        <v>2</v>
      </c>
      <c r="AI89">
        <v>16481808</v>
      </c>
      <c r="AJ89">
        <v>96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ROW(Source!A51)</f>
        <v>51</v>
      </c>
      <c r="B90">
        <v>16481822</v>
      </c>
      <c r="C90">
        <v>16481801</v>
      </c>
      <c r="D90">
        <v>15170682</v>
      </c>
      <c r="E90">
        <v>1</v>
      </c>
      <c r="F90">
        <v>1</v>
      </c>
      <c r="G90">
        <v>1</v>
      </c>
      <c r="H90">
        <v>3</v>
      </c>
      <c r="I90" t="s">
        <v>313</v>
      </c>
      <c r="J90" t="s">
        <v>314</v>
      </c>
      <c r="K90" t="s">
        <v>315</v>
      </c>
      <c r="L90">
        <v>1327</v>
      </c>
      <c r="N90">
        <v>1005</v>
      </c>
      <c r="O90" t="s">
        <v>32</v>
      </c>
      <c r="P90" t="s">
        <v>32</v>
      </c>
      <c r="Q90">
        <v>1</v>
      </c>
      <c r="X90">
        <v>1.6</v>
      </c>
      <c r="Y90">
        <v>72.319999999999993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1.6</v>
      </c>
      <c r="AH90">
        <v>2</v>
      </c>
      <c r="AI90">
        <v>16481809</v>
      </c>
      <c r="AJ90">
        <v>97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ROW(Source!A51)</f>
        <v>51</v>
      </c>
      <c r="B91">
        <v>16481823</v>
      </c>
      <c r="C91">
        <v>16481801</v>
      </c>
      <c r="D91">
        <v>15171907</v>
      </c>
      <c r="E91">
        <v>1</v>
      </c>
      <c r="F91">
        <v>1</v>
      </c>
      <c r="G91">
        <v>1</v>
      </c>
      <c r="H91">
        <v>3</v>
      </c>
      <c r="I91" t="s">
        <v>316</v>
      </c>
      <c r="J91" t="s">
        <v>317</v>
      </c>
      <c r="K91" t="s">
        <v>318</v>
      </c>
      <c r="L91">
        <v>1339</v>
      </c>
      <c r="N91">
        <v>1007</v>
      </c>
      <c r="O91" t="s">
        <v>301</v>
      </c>
      <c r="P91" t="s">
        <v>301</v>
      </c>
      <c r="Q91">
        <v>1</v>
      </c>
      <c r="X91">
        <v>4.4000000000000003E-3</v>
      </c>
      <c r="Y91">
        <v>74.58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4.4000000000000003E-3</v>
      </c>
      <c r="AH91">
        <v>2</v>
      </c>
      <c r="AI91">
        <v>16481810</v>
      </c>
      <c r="AJ91">
        <v>98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ROW(Source!A51)</f>
        <v>51</v>
      </c>
      <c r="B92">
        <v>16481824</v>
      </c>
      <c r="C92">
        <v>16481801</v>
      </c>
      <c r="D92">
        <v>15202490</v>
      </c>
      <c r="E92">
        <v>1</v>
      </c>
      <c r="F92">
        <v>1</v>
      </c>
      <c r="G92">
        <v>1</v>
      </c>
      <c r="H92">
        <v>3</v>
      </c>
      <c r="I92" t="s">
        <v>319</v>
      </c>
      <c r="J92" t="s">
        <v>320</v>
      </c>
      <c r="K92" t="s">
        <v>321</v>
      </c>
      <c r="L92">
        <v>1346</v>
      </c>
      <c r="N92">
        <v>1009</v>
      </c>
      <c r="O92" t="s">
        <v>322</v>
      </c>
      <c r="P92" t="s">
        <v>322</v>
      </c>
      <c r="Q92">
        <v>1</v>
      </c>
      <c r="X92">
        <v>4.0199999999999996</v>
      </c>
      <c r="Y92">
        <v>8.09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4.0199999999999996</v>
      </c>
      <c r="AH92">
        <v>2</v>
      </c>
      <c r="AI92">
        <v>16481811</v>
      </c>
      <c r="AJ92">
        <v>99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ROW(Source!A51)</f>
        <v>51</v>
      </c>
      <c r="B93">
        <v>16481825</v>
      </c>
      <c r="C93">
        <v>16481801</v>
      </c>
      <c r="D93">
        <v>15163054</v>
      </c>
      <c r="E93">
        <v>17</v>
      </c>
      <c r="F93">
        <v>1</v>
      </c>
      <c r="G93">
        <v>1</v>
      </c>
      <c r="H93">
        <v>3</v>
      </c>
      <c r="I93" t="s">
        <v>84</v>
      </c>
      <c r="J93" t="s">
        <v>6</v>
      </c>
      <c r="K93" t="s">
        <v>85</v>
      </c>
      <c r="L93">
        <v>1348</v>
      </c>
      <c r="N93">
        <v>1009</v>
      </c>
      <c r="O93" t="s">
        <v>57</v>
      </c>
      <c r="P93" t="s">
        <v>57</v>
      </c>
      <c r="Q93">
        <v>1000</v>
      </c>
      <c r="X93">
        <v>7.0999999999999994E-2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6</v>
      </c>
      <c r="AG93">
        <v>7.0999999999999994E-2</v>
      </c>
      <c r="AH93">
        <v>2</v>
      </c>
      <c r="AI93">
        <v>16481812</v>
      </c>
      <c r="AJ93">
        <v>100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ROW(Source!A51)</f>
        <v>51</v>
      </c>
      <c r="B94">
        <v>16481826</v>
      </c>
      <c r="C94">
        <v>16481801</v>
      </c>
      <c r="D94">
        <v>15204729</v>
      </c>
      <c r="E94">
        <v>1</v>
      </c>
      <c r="F94">
        <v>1</v>
      </c>
      <c r="G94">
        <v>1</v>
      </c>
      <c r="H94">
        <v>3</v>
      </c>
      <c r="I94" t="s">
        <v>323</v>
      </c>
      <c r="J94" t="s">
        <v>324</v>
      </c>
      <c r="K94" t="s">
        <v>325</v>
      </c>
      <c r="L94">
        <v>1348</v>
      </c>
      <c r="N94">
        <v>1009</v>
      </c>
      <c r="O94" t="s">
        <v>57</v>
      </c>
      <c r="P94" t="s">
        <v>57</v>
      </c>
      <c r="Q94">
        <v>1000</v>
      </c>
      <c r="X94">
        <v>7.1999999999999995E-2</v>
      </c>
      <c r="Y94">
        <v>4294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6</v>
      </c>
      <c r="AG94">
        <v>7.1999999999999995E-2</v>
      </c>
      <c r="AH94">
        <v>2</v>
      </c>
      <c r="AI94">
        <v>16481813</v>
      </c>
      <c r="AJ94">
        <v>102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ROW(Source!A56)</f>
        <v>56</v>
      </c>
      <c r="B95">
        <v>16481835</v>
      </c>
      <c r="C95">
        <v>16481829</v>
      </c>
      <c r="D95">
        <v>15436014</v>
      </c>
      <c r="E95">
        <v>1</v>
      </c>
      <c r="F95">
        <v>1</v>
      </c>
      <c r="G95">
        <v>1</v>
      </c>
      <c r="H95">
        <v>1</v>
      </c>
      <c r="I95" t="s">
        <v>261</v>
      </c>
      <c r="J95" t="s">
        <v>6</v>
      </c>
      <c r="K95" t="s">
        <v>262</v>
      </c>
      <c r="L95">
        <v>1191</v>
      </c>
      <c r="N95">
        <v>1013</v>
      </c>
      <c r="O95" t="s">
        <v>254</v>
      </c>
      <c r="P95" t="s">
        <v>254</v>
      </c>
      <c r="Q95">
        <v>1</v>
      </c>
      <c r="X95">
        <v>188.25</v>
      </c>
      <c r="Y95">
        <v>0</v>
      </c>
      <c r="Z95">
        <v>0</v>
      </c>
      <c r="AA95">
        <v>0</v>
      </c>
      <c r="AB95">
        <v>8.74</v>
      </c>
      <c r="AC95">
        <v>0</v>
      </c>
      <c r="AD95">
        <v>1</v>
      </c>
      <c r="AE95">
        <v>1</v>
      </c>
      <c r="AF95" t="s">
        <v>6</v>
      </c>
      <c r="AG95">
        <v>188.25</v>
      </c>
      <c r="AH95">
        <v>2</v>
      </c>
      <c r="AI95">
        <v>16481830</v>
      </c>
      <c r="AJ95">
        <v>103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ROW(Source!A56)</f>
        <v>56</v>
      </c>
      <c r="B96">
        <v>16481836</v>
      </c>
      <c r="C96">
        <v>16481829</v>
      </c>
      <c r="D96">
        <v>15247878</v>
      </c>
      <c r="E96">
        <v>1</v>
      </c>
      <c r="F96">
        <v>1</v>
      </c>
      <c r="G96">
        <v>1</v>
      </c>
      <c r="H96">
        <v>2</v>
      </c>
      <c r="I96" t="s">
        <v>326</v>
      </c>
      <c r="J96" t="s">
        <v>327</v>
      </c>
      <c r="K96" t="s">
        <v>328</v>
      </c>
      <c r="L96">
        <v>1368</v>
      </c>
      <c r="N96">
        <v>1011</v>
      </c>
      <c r="O96" t="s">
        <v>260</v>
      </c>
      <c r="P96" t="s">
        <v>260</v>
      </c>
      <c r="Q96">
        <v>1</v>
      </c>
      <c r="X96">
        <v>0.71</v>
      </c>
      <c r="Y96">
        <v>0</v>
      </c>
      <c r="Z96">
        <v>1.7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0.71</v>
      </c>
      <c r="AH96">
        <v>2</v>
      </c>
      <c r="AI96">
        <v>16481831</v>
      </c>
      <c r="AJ96">
        <v>104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ROW(Source!A56)</f>
        <v>56</v>
      </c>
      <c r="B97">
        <v>16481837</v>
      </c>
      <c r="C97">
        <v>16481829</v>
      </c>
      <c r="D97">
        <v>15167286</v>
      </c>
      <c r="E97">
        <v>1</v>
      </c>
      <c r="F97">
        <v>1</v>
      </c>
      <c r="G97">
        <v>1</v>
      </c>
      <c r="H97">
        <v>3</v>
      </c>
      <c r="I97" t="s">
        <v>298</v>
      </c>
      <c r="J97" t="s">
        <v>299</v>
      </c>
      <c r="K97" t="s">
        <v>300</v>
      </c>
      <c r="L97">
        <v>1339</v>
      </c>
      <c r="N97">
        <v>1007</v>
      </c>
      <c r="O97" t="s">
        <v>301</v>
      </c>
      <c r="P97" t="s">
        <v>301</v>
      </c>
      <c r="Q97">
        <v>1</v>
      </c>
      <c r="X97">
        <v>0.35</v>
      </c>
      <c r="Y97">
        <v>2.44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6</v>
      </c>
      <c r="AG97">
        <v>0.35</v>
      </c>
      <c r="AH97">
        <v>2</v>
      </c>
      <c r="AI97">
        <v>16481832</v>
      </c>
      <c r="AJ97">
        <v>105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ROW(Source!A56)</f>
        <v>56</v>
      </c>
      <c r="B98">
        <v>16481838</v>
      </c>
      <c r="C98">
        <v>16481829</v>
      </c>
      <c r="D98">
        <v>15164566</v>
      </c>
      <c r="E98">
        <v>17</v>
      </c>
      <c r="F98">
        <v>1</v>
      </c>
      <c r="G98">
        <v>1</v>
      </c>
      <c r="H98">
        <v>3</v>
      </c>
      <c r="I98" t="s">
        <v>55</v>
      </c>
      <c r="J98" t="s">
        <v>6</v>
      </c>
      <c r="K98" t="s">
        <v>56</v>
      </c>
      <c r="L98">
        <v>1348</v>
      </c>
      <c r="N98">
        <v>1009</v>
      </c>
      <c r="O98" t="s">
        <v>57</v>
      </c>
      <c r="P98" t="s">
        <v>57</v>
      </c>
      <c r="Q98">
        <v>1000</v>
      </c>
      <c r="X98">
        <v>4.84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 t="s">
        <v>6</v>
      </c>
      <c r="AG98">
        <v>4.84</v>
      </c>
      <c r="AH98">
        <v>2</v>
      </c>
      <c r="AI98">
        <v>16481833</v>
      </c>
      <c r="AJ98">
        <v>106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ROW(Source!A56)</f>
        <v>56</v>
      </c>
      <c r="B99">
        <v>16481839</v>
      </c>
      <c r="C99">
        <v>16481829</v>
      </c>
      <c r="D99">
        <v>15172875</v>
      </c>
      <c r="E99">
        <v>1</v>
      </c>
      <c r="F99">
        <v>1</v>
      </c>
      <c r="G99">
        <v>1</v>
      </c>
      <c r="H99">
        <v>3</v>
      </c>
      <c r="I99" t="s">
        <v>302</v>
      </c>
      <c r="J99" t="s">
        <v>303</v>
      </c>
      <c r="K99" t="s">
        <v>304</v>
      </c>
      <c r="L99">
        <v>1339</v>
      </c>
      <c r="N99">
        <v>1007</v>
      </c>
      <c r="O99" t="s">
        <v>301</v>
      </c>
      <c r="P99" t="s">
        <v>301</v>
      </c>
      <c r="Q99">
        <v>1</v>
      </c>
      <c r="X99">
        <v>2.2000000000000002</v>
      </c>
      <c r="Y99">
        <v>517.91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6</v>
      </c>
      <c r="AG99">
        <v>2.2000000000000002</v>
      </c>
      <c r="AH99">
        <v>2</v>
      </c>
      <c r="AI99">
        <v>16481834</v>
      </c>
      <c r="AJ99">
        <v>107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ROW(Source!A57)</f>
        <v>57</v>
      </c>
      <c r="B100">
        <v>16481835</v>
      </c>
      <c r="C100">
        <v>16481829</v>
      </c>
      <c r="D100">
        <v>15436014</v>
      </c>
      <c r="E100">
        <v>1</v>
      </c>
      <c r="F100">
        <v>1</v>
      </c>
      <c r="G100">
        <v>1</v>
      </c>
      <c r="H100">
        <v>1</v>
      </c>
      <c r="I100" t="s">
        <v>261</v>
      </c>
      <c r="J100" t="s">
        <v>6</v>
      </c>
      <c r="K100" t="s">
        <v>262</v>
      </c>
      <c r="L100">
        <v>1191</v>
      </c>
      <c r="N100">
        <v>1013</v>
      </c>
      <c r="O100" t="s">
        <v>254</v>
      </c>
      <c r="P100" t="s">
        <v>254</v>
      </c>
      <c r="Q100">
        <v>1</v>
      </c>
      <c r="X100">
        <v>188.25</v>
      </c>
      <c r="Y100">
        <v>0</v>
      </c>
      <c r="Z100">
        <v>0</v>
      </c>
      <c r="AA100">
        <v>0</v>
      </c>
      <c r="AB100">
        <v>8.74</v>
      </c>
      <c r="AC100">
        <v>0</v>
      </c>
      <c r="AD100">
        <v>1</v>
      </c>
      <c r="AE100">
        <v>1</v>
      </c>
      <c r="AF100" t="s">
        <v>6</v>
      </c>
      <c r="AG100">
        <v>188.25</v>
      </c>
      <c r="AH100">
        <v>2</v>
      </c>
      <c r="AI100">
        <v>16481830</v>
      </c>
      <c r="AJ100">
        <v>108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ROW(Source!A57)</f>
        <v>57</v>
      </c>
      <c r="B101">
        <v>16481836</v>
      </c>
      <c r="C101">
        <v>16481829</v>
      </c>
      <c r="D101">
        <v>15247878</v>
      </c>
      <c r="E101">
        <v>1</v>
      </c>
      <c r="F101">
        <v>1</v>
      </c>
      <c r="G101">
        <v>1</v>
      </c>
      <c r="H101">
        <v>2</v>
      </c>
      <c r="I101" t="s">
        <v>326</v>
      </c>
      <c r="J101" t="s">
        <v>327</v>
      </c>
      <c r="K101" t="s">
        <v>328</v>
      </c>
      <c r="L101">
        <v>1368</v>
      </c>
      <c r="N101">
        <v>1011</v>
      </c>
      <c r="O101" t="s">
        <v>260</v>
      </c>
      <c r="P101" t="s">
        <v>260</v>
      </c>
      <c r="Q101">
        <v>1</v>
      </c>
      <c r="X101">
        <v>0.71</v>
      </c>
      <c r="Y101">
        <v>0</v>
      </c>
      <c r="Z101">
        <v>1.7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0.71</v>
      </c>
      <c r="AH101">
        <v>2</v>
      </c>
      <c r="AI101">
        <v>16481831</v>
      </c>
      <c r="AJ101">
        <v>109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ROW(Source!A57)</f>
        <v>57</v>
      </c>
      <c r="B102">
        <v>16481837</v>
      </c>
      <c r="C102">
        <v>16481829</v>
      </c>
      <c r="D102">
        <v>15167286</v>
      </c>
      <c r="E102">
        <v>1</v>
      </c>
      <c r="F102">
        <v>1</v>
      </c>
      <c r="G102">
        <v>1</v>
      </c>
      <c r="H102">
        <v>3</v>
      </c>
      <c r="I102" t="s">
        <v>298</v>
      </c>
      <c r="J102" t="s">
        <v>299</v>
      </c>
      <c r="K102" t="s">
        <v>300</v>
      </c>
      <c r="L102">
        <v>1339</v>
      </c>
      <c r="N102">
        <v>1007</v>
      </c>
      <c r="O102" t="s">
        <v>301</v>
      </c>
      <c r="P102" t="s">
        <v>301</v>
      </c>
      <c r="Q102">
        <v>1</v>
      </c>
      <c r="X102">
        <v>0.35</v>
      </c>
      <c r="Y102">
        <v>2.44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0.35</v>
      </c>
      <c r="AH102">
        <v>2</v>
      </c>
      <c r="AI102">
        <v>16481832</v>
      </c>
      <c r="AJ102">
        <v>110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ROW(Source!A57)</f>
        <v>57</v>
      </c>
      <c r="B103">
        <v>16481838</v>
      </c>
      <c r="C103">
        <v>16481829</v>
      </c>
      <c r="D103">
        <v>15164566</v>
      </c>
      <c r="E103">
        <v>17</v>
      </c>
      <c r="F103">
        <v>1</v>
      </c>
      <c r="G103">
        <v>1</v>
      </c>
      <c r="H103">
        <v>3</v>
      </c>
      <c r="I103" t="s">
        <v>55</v>
      </c>
      <c r="J103" t="s">
        <v>6</v>
      </c>
      <c r="K103" t="s">
        <v>56</v>
      </c>
      <c r="L103">
        <v>1348</v>
      </c>
      <c r="N103">
        <v>1009</v>
      </c>
      <c r="O103" t="s">
        <v>57</v>
      </c>
      <c r="P103" t="s">
        <v>57</v>
      </c>
      <c r="Q103">
        <v>1000</v>
      </c>
      <c r="X103">
        <v>4.84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 t="s">
        <v>6</v>
      </c>
      <c r="AG103">
        <v>4.84</v>
      </c>
      <c r="AH103">
        <v>2</v>
      </c>
      <c r="AI103">
        <v>16481833</v>
      </c>
      <c r="AJ103">
        <v>111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ROW(Source!A57)</f>
        <v>57</v>
      </c>
      <c r="B104">
        <v>16481839</v>
      </c>
      <c r="C104">
        <v>16481829</v>
      </c>
      <c r="D104">
        <v>15172875</v>
      </c>
      <c r="E104">
        <v>1</v>
      </c>
      <c r="F104">
        <v>1</v>
      </c>
      <c r="G104">
        <v>1</v>
      </c>
      <c r="H104">
        <v>3</v>
      </c>
      <c r="I104" t="s">
        <v>302</v>
      </c>
      <c r="J104" t="s">
        <v>303</v>
      </c>
      <c r="K104" t="s">
        <v>304</v>
      </c>
      <c r="L104">
        <v>1339</v>
      </c>
      <c r="N104">
        <v>1007</v>
      </c>
      <c r="O104" t="s">
        <v>301</v>
      </c>
      <c r="P104" t="s">
        <v>301</v>
      </c>
      <c r="Q104">
        <v>1</v>
      </c>
      <c r="X104">
        <v>2.2000000000000002</v>
      </c>
      <c r="Y104">
        <v>517.91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6</v>
      </c>
      <c r="AG104">
        <v>2.2000000000000002</v>
      </c>
      <c r="AH104">
        <v>2</v>
      </c>
      <c r="AI104">
        <v>16481834</v>
      </c>
      <c r="AJ104">
        <v>112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ROW(Source!A60)</f>
        <v>60</v>
      </c>
      <c r="B105">
        <v>16481853</v>
      </c>
      <c r="C105">
        <v>16481841</v>
      </c>
      <c r="D105">
        <v>15430447</v>
      </c>
      <c r="E105">
        <v>1</v>
      </c>
      <c r="F105">
        <v>1</v>
      </c>
      <c r="G105">
        <v>1</v>
      </c>
      <c r="H105">
        <v>1</v>
      </c>
      <c r="I105" t="s">
        <v>329</v>
      </c>
      <c r="J105" t="s">
        <v>6</v>
      </c>
      <c r="K105" t="s">
        <v>330</v>
      </c>
      <c r="L105">
        <v>1191</v>
      </c>
      <c r="N105">
        <v>1013</v>
      </c>
      <c r="O105" t="s">
        <v>254</v>
      </c>
      <c r="P105" t="s">
        <v>254</v>
      </c>
      <c r="Q105">
        <v>1</v>
      </c>
      <c r="X105">
        <v>14.39</v>
      </c>
      <c r="Y105">
        <v>0</v>
      </c>
      <c r="Z105">
        <v>0</v>
      </c>
      <c r="AA105">
        <v>0</v>
      </c>
      <c r="AB105">
        <v>9.07</v>
      </c>
      <c r="AC105">
        <v>0</v>
      </c>
      <c r="AD105">
        <v>1</v>
      </c>
      <c r="AE105">
        <v>1</v>
      </c>
      <c r="AF105" t="s">
        <v>6</v>
      </c>
      <c r="AG105">
        <v>14.39</v>
      </c>
      <c r="AH105">
        <v>2</v>
      </c>
      <c r="AI105">
        <v>16481842</v>
      </c>
      <c r="AJ105">
        <v>113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ROW(Source!A60)</f>
        <v>60</v>
      </c>
      <c r="B106">
        <v>16481854</v>
      </c>
      <c r="C106">
        <v>16481841</v>
      </c>
      <c r="D106">
        <v>15430395</v>
      </c>
      <c r="E106">
        <v>1</v>
      </c>
      <c r="F106">
        <v>1</v>
      </c>
      <c r="G106">
        <v>1</v>
      </c>
      <c r="H106">
        <v>1</v>
      </c>
      <c r="I106" t="s">
        <v>255</v>
      </c>
      <c r="J106" t="s">
        <v>6</v>
      </c>
      <c r="K106" t="s">
        <v>256</v>
      </c>
      <c r="L106">
        <v>1191</v>
      </c>
      <c r="N106">
        <v>1013</v>
      </c>
      <c r="O106" t="s">
        <v>254</v>
      </c>
      <c r="P106" t="s">
        <v>254</v>
      </c>
      <c r="Q106">
        <v>1</v>
      </c>
      <c r="X106">
        <v>0.12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2</v>
      </c>
      <c r="AF106" t="s">
        <v>6</v>
      </c>
      <c r="AG106">
        <v>0.12</v>
      </c>
      <c r="AH106">
        <v>2</v>
      </c>
      <c r="AI106">
        <v>16481843</v>
      </c>
      <c r="AJ106">
        <v>114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ROW(Source!A60)</f>
        <v>60</v>
      </c>
      <c r="B107">
        <v>16481855</v>
      </c>
      <c r="C107">
        <v>16481841</v>
      </c>
      <c r="D107">
        <v>15247878</v>
      </c>
      <c r="E107">
        <v>1</v>
      </c>
      <c r="F107">
        <v>1</v>
      </c>
      <c r="G107">
        <v>1</v>
      </c>
      <c r="H107">
        <v>2</v>
      </c>
      <c r="I107" t="s">
        <v>326</v>
      </c>
      <c r="J107" t="s">
        <v>327</v>
      </c>
      <c r="K107" t="s">
        <v>328</v>
      </c>
      <c r="L107">
        <v>1368</v>
      </c>
      <c r="N107">
        <v>1011</v>
      </c>
      <c r="O107" t="s">
        <v>260</v>
      </c>
      <c r="P107" t="s">
        <v>260</v>
      </c>
      <c r="Q107">
        <v>1</v>
      </c>
      <c r="X107">
        <v>0.24</v>
      </c>
      <c r="Y107">
        <v>0</v>
      </c>
      <c r="Z107">
        <v>1.7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6</v>
      </c>
      <c r="AG107">
        <v>0.24</v>
      </c>
      <c r="AH107">
        <v>2</v>
      </c>
      <c r="AI107">
        <v>16481844</v>
      </c>
      <c r="AJ107">
        <v>115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ROW(Source!A60)</f>
        <v>60</v>
      </c>
      <c r="B108">
        <v>16481856</v>
      </c>
      <c r="C108">
        <v>16481841</v>
      </c>
      <c r="D108">
        <v>15249073</v>
      </c>
      <c r="E108">
        <v>1</v>
      </c>
      <c r="F108">
        <v>1</v>
      </c>
      <c r="G108">
        <v>1</v>
      </c>
      <c r="H108">
        <v>2</v>
      </c>
      <c r="I108" t="s">
        <v>263</v>
      </c>
      <c r="J108" t="s">
        <v>264</v>
      </c>
      <c r="K108" t="s">
        <v>265</v>
      </c>
      <c r="L108">
        <v>1368</v>
      </c>
      <c r="N108">
        <v>1011</v>
      </c>
      <c r="O108" t="s">
        <v>260</v>
      </c>
      <c r="P108" t="s">
        <v>260</v>
      </c>
      <c r="Q108">
        <v>1</v>
      </c>
      <c r="X108">
        <v>0.12</v>
      </c>
      <c r="Y108">
        <v>0</v>
      </c>
      <c r="Z108">
        <v>65.709999999999994</v>
      </c>
      <c r="AA108">
        <v>11.6</v>
      </c>
      <c r="AB108">
        <v>0</v>
      </c>
      <c r="AC108">
        <v>0</v>
      </c>
      <c r="AD108">
        <v>1</v>
      </c>
      <c r="AE108">
        <v>0</v>
      </c>
      <c r="AF108" t="s">
        <v>6</v>
      </c>
      <c r="AG108">
        <v>0.12</v>
      </c>
      <c r="AH108">
        <v>2</v>
      </c>
      <c r="AI108">
        <v>16481845</v>
      </c>
      <c r="AJ108">
        <v>116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ROW(Source!A60)</f>
        <v>60</v>
      </c>
      <c r="B109">
        <v>16481857</v>
      </c>
      <c r="C109">
        <v>16481841</v>
      </c>
      <c r="D109">
        <v>15171018</v>
      </c>
      <c r="E109">
        <v>1</v>
      </c>
      <c r="F109">
        <v>1</v>
      </c>
      <c r="G109">
        <v>1</v>
      </c>
      <c r="H109">
        <v>3</v>
      </c>
      <c r="I109" t="s">
        <v>331</v>
      </c>
      <c r="J109" t="s">
        <v>332</v>
      </c>
      <c r="K109" t="s">
        <v>333</v>
      </c>
      <c r="L109">
        <v>1346</v>
      </c>
      <c r="N109">
        <v>1009</v>
      </c>
      <c r="O109" t="s">
        <v>322</v>
      </c>
      <c r="P109" t="s">
        <v>322</v>
      </c>
      <c r="Q109">
        <v>1</v>
      </c>
      <c r="X109">
        <v>0.41</v>
      </c>
      <c r="Y109">
        <v>1.82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0.41</v>
      </c>
      <c r="AH109">
        <v>2</v>
      </c>
      <c r="AI109">
        <v>16481846</v>
      </c>
      <c r="AJ109">
        <v>117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ROW(Source!A60)</f>
        <v>60</v>
      </c>
      <c r="B110">
        <v>16481858</v>
      </c>
      <c r="C110">
        <v>16481841</v>
      </c>
      <c r="D110">
        <v>15171907</v>
      </c>
      <c r="E110">
        <v>1</v>
      </c>
      <c r="F110">
        <v>1</v>
      </c>
      <c r="G110">
        <v>1</v>
      </c>
      <c r="H110">
        <v>3</v>
      </c>
      <c r="I110" t="s">
        <v>316</v>
      </c>
      <c r="J110" t="s">
        <v>317</v>
      </c>
      <c r="K110" t="s">
        <v>318</v>
      </c>
      <c r="L110">
        <v>1339</v>
      </c>
      <c r="N110">
        <v>1007</v>
      </c>
      <c r="O110" t="s">
        <v>301</v>
      </c>
      <c r="P110" t="s">
        <v>301</v>
      </c>
      <c r="Q110">
        <v>1</v>
      </c>
      <c r="X110">
        <v>4.7000000000000002E-3</v>
      </c>
      <c r="Y110">
        <v>74.58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4.7000000000000002E-3</v>
      </c>
      <c r="AH110">
        <v>2</v>
      </c>
      <c r="AI110">
        <v>16481847</v>
      </c>
      <c r="AJ110">
        <v>118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ROW(Source!A60)</f>
        <v>60</v>
      </c>
      <c r="B111">
        <v>16481859</v>
      </c>
      <c r="C111">
        <v>16481841</v>
      </c>
      <c r="D111">
        <v>15203663</v>
      </c>
      <c r="E111">
        <v>1</v>
      </c>
      <c r="F111">
        <v>1</v>
      </c>
      <c r="G111">
        <v>1</v>
      </c>
      <c r="H111">
        <v>3</v>
      </c>
      <c r="I111" t="s">
        <v>334</v>
      </c>
      <c r="J111" t="s">
        <v>335</v>
      </c>
      <c r="K111" t="s">
        <v>336</v>
      </c>
      <c r="L111">
        <v>1348</v>
      </c>
      <c r="N111">
        <v>1009</v>
      </c>
      <c r="O111" t="s">
        <v>57</v>
      </c>
      <c r="P111" t="s">
        <v>57</v>
      </c>
      <c r="Q111">
        <v>1000</v>
      </c>
      <c r="X111">
        <v>1.4999999999999999E-2</v>
      </c>
      <c r="Y111">
        <v>18362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6</v>
      </c>
      <c r="AG111">
        <v>1.4999999999999999E-2</v>
      </c>
      <c r="AH111">
        <v>2</v>
      </c>
      <c r="AI111">
        <v>16481848</v>
      </c>
      <c r="AJ111">
        <v>119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ROW(Source!A60)</f>
        <v>60</v>
      </c>
      <c r="B112">
        <v>16481860</v>
      </c>
      <c r="C112">
        <v>16481841</v>
      </c>
      <c r="D112">
        <v>15163065</v>
      </c>
      <c r="E112">
        <v>17</v>
      </c>
      <c r="F112">
        <v>1</v>
      </c>
      <c r="G112">
        <v>1</v>
      </c>
      <c r="H112">
        <v>3</v>
      </c>
      <c r="I112" t="s">
        <v>102</v>
      </c>
      <c r="J112" t="s">
        <v>6</v>
      </c>
      <c r="K112" t="s">
        <v>103</v>
      </c>
      <c r="L112">
        <v>1348</v>
      </c>
      <c r="N112">
        <v>1009</v>
      </c>
      <c r="O112" t="s">
        <v>57</v>
      </c>
      <c r="P112" t="s">
        <v>57</v>
      </c>
      <c r="Q112">
        <v>1000</v>
      </c>
      <c r="X112">
        <v>5.8999999999999997E-2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 t="s">
        <v>6</v>
      </c>
      <c r="AG112">
        <v>5.8999999999999997E-2</v>
      </c>
      <c r="AH112">
        <v>2</v>
      </c>
      <c r="AI112">
        <v>16481849</v>
      </c>
      <c r="AJ112">
        <v>120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ROW(Source!A60)</f>
        <v>60</v>
      </c>
      <c r="B113">
        <v>16481861</v>
      </c>
      <c r="C113">
        <v>16481841</v>
      </c>
      <c r="D113">
        <v>15204703</v>
      </c>
      <c r="E113">
        <v>1</v>
      </c>
      <c r="F113">
        <v>1</v>
      </c>
      <c r="G113">
        <v>1</v>
      </c>
      <c r="H113">
        <v>3</v>
      </c>
      <c r="I113" t="s">
        <v>337</v>
      </c>
      <c r="J113" t="s">
        <v>338</v>
      </c>
      <c r="K113" t="s">
        <v>339</v>
      </c>
      <c r="L113">
        <v>1348</v>
      </c>
      <c r="N113">
        <v>1009</v>
      </c>
      <c r="O113" t="s">
        <v>57</v>
      </c>
      <c r="P113" t="s">
        <v>57</v>
      </c>
      <c r="Q113">
        <v>1000</v>
      </c>
      <c r="X113">
        <v>0.01</v>
      </c>
      <c r="Y113">
        <v>6667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0.01</v>
      </c>
      <c r="AH113">
        <v>2</v>
      </c>
      <c r="AI113">
        <v>16481850</v>
      </c>
      <c r="AJ113">
        <v>122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ROW(Source!A60)</f>
        <v>60</v>
      </c>
      <c r="B114">
        <v>16481862</v>
      </c>
      <c r="C114">
        <v>16481841</v>
      </c>
      <c r="D114">
        <v>15204788</v>
      </c>
      <c r="E114">
        <v>1</v>
      </c>
      <c r="F114">
        <v>1</v>
      </c>
      <c r="G114">
        <v>1</v>
      </c>
      <c r="H114">
        <v>3</v>
      </c>
      <c r="I114" t="s">
        <v>340</v>
      </c>
      <c r="J114" t="s">
        <v>341</v>
      </c>
      <c r="K114" t="s">
        <v>342</v>
      </c>
      <c r="L114">
        <v>1348</v>
      </c>
      <c r="N114">
        <v>1009</v>
      </c>
      <c r="O114" t="s">
        <v>57</v>
      </c>
      <c r="P114" t="s">
        <v>57</v>
      </c>
      <c r="Q114">
        <v>1000</v>
      </c>
      <c r="X114">
        <v>1.2E-2</v>
      </c>
      <c r="Y114">
        <v>16950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1.2E-2</v>
      </c>
      <c r="AH114">
        <v>2</v>
      </c>
      <c r="AI114">
        <v>16481851</v>
      </c>
      <c r="AJ114">
        <v>123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ROW(Source!A61)</f>
        <v>61</v>
      </c>
      <c r="B115">
        <v>16481853</v>
      </c>
      <c r="C115">
        <v>16481841</v>
      </c>
      <c r="D115">
        <v>15430447</v>
      </c>
      <c r="E115">
        <v>1</v>
      </c>
      <c r="F115">
        <v>1</v>
      </c>
      <c r="G115">
        <v>1</v>
      </c>
      <c r="H115">
        <v>1</v>
      </c>
      <c r="I115" t="s">
        <v>329</v>
      </c>
      <c r="J115" t="s">
        <v>6</v>
      </c>
      <c r="K115" t="s">
        <v>330</v>
      </c>
      <c r="L115">
        <v>1191</v>
      </c>
      <c r="N115">
        <v>1013</v>
      </c>
      <c r="O115" t="s">
        <v>254</v>
      </c>
      <c r="P115" t="s">
        <v>254</v>
      </c>
      <c r="Q115">
        <v>1</v>
      </c>
      <c r="X115">
        <v>14.39</v>
      </c>
      <c r="Y115">
        <v>0</v>
      </c>
      <c r="Z115">
        <v>0</v>
      </c>
      <c r="AA115">
        <v>0</v>
      </c>
      <c r="AB115">
        <v>9.07</v>
      </c>
      <c r="AC115">
        <v>0</v>
      </c>
      <c r="AD115">
        <v>1</v>
      </c>
      <c r="AE115">
        <v>1</v>
      </c>
      <c r="AF115" t="s">
        <v>6</v>
      </c>
      <c r="AG115">
        <v>14.39</v>
      </c>
      <c r="AH115">
        <v>2</v>
      </c>
      <c r="AI115">
        <v>16481842</v>
      </c>
      <c r="AJ115">
        <v>124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ROW(Source!A61)</f>
        <v>61</v>
      </c>
      <c r="B116">
        <v>16481854</v>
      </c>
      <c r="C116">
        <v>16481841</v>
      </c>
      <c r="D116">
        <v>15430395</v>
      </c>
      <c r="E116">
        <v>1</v>
      </c>
      <c r="F116">
        <v>1</v>
      </c>
      <c r="G116">
        <v>1</v>
      </c>
      <c r="H116">
        <v>1</v>
      </c>
      <c r="I116" t="s">
        <v>255</v>
      </c>
      <c r="J116" t="s">
        <v>6</v>
      </c>
      <c r="K116" t="s">
        <v>256</v>
      </c>
      <c r="L116">
        <v>1191</v>
      </c>
      <c r="N116">
        <v>1013</v>
      </c>
      <c r="O116" t="s">
        <v>254</v>
      </c>
      <c r="P116" t="s">
        <v>254</v>
      </c>
      <c r="Q116">
        <v>1</v>
      </c>
      <c r="X116">
        <v>0.12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2</v>
      </c>
      <c r="AF116" t="s">
        <v>6</v>
      </c>
      <c r="AG116">
        <v>0.12</v>
      </c>
      <c r="AH116">
        <v>2</v>
      </c>
      <c r="AI116">
        <v>16481843</v>
      </c>
      <c r="AJ116">
        <v>125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ROW(Source!A61)</f>
        <v>61</v>
      </c>
      <c r="B117">
        <v>16481855</v>
      </c>
      <c r="C117">
        <v>16481841</v>
      </c>
      <c r="D117">
        <v>15247878</v>
      </c>
      <c r="E117">
        <v>1</v>
      </c>
      <c r="F117">
        <v>1</v>
      </c>
      <c r="G117">
        <v>1</v>
      </c>
      <c r="H117">
        <v>2</v>
      </c>
      <c r="I117" t="s">
        <v>326</v>
      </c>
      <c r="J117" t="s">
        <v>327</v>
      </c>
      <c r="K117" t="s">
        <v>328</v>
      </c>
      <c r="L117">
        <v>1368</v>
      </c>
      <c r="N117">
        <v>1011</v>
      </c>
      <c r="O117" t="s">
        <v>260</v>
      </c>
      <c r="P117" t="s">
        <v>260</v>
      </c>
      <c r="Q117">
        <v>1</v>
      </c>
      <c r="X117">
        <v>0.24</v>
      </c>
      <c r="Y117">
        <v>0</v>
      </c>
      <c r="Z117">
        <v>1.7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6</v>
      </c>
      <c r="AG117">
        <v>0.24</v>
      </c>
      <c r="AH117">
        <v>2</v>
      </c>
      <c r="AI117">
        <v>16481844</v>
      </c>
      <c r="AJ117">
        <v>126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ROW(Source!A61)</f>
        <v>61</v>
      </c>
      <c r="B118">
        <v>16481856</v>
      </c>
      <c r="C118">
        <v>16481841</v>
      </c>
      <c r="D118">
        <v>15249073</v>
      </c>
      <c r="E118">
        <v>1</v>
      </c>
      <c r="F118">
        <v>1</v>
      </c>
      <c r="G118">
        <v>1</v>
      </c>
      <c r="H118">
        <v>2</v>
      </c>
      <c r="I118" t="s">
        <v>263</v>
      </c>
      <c r="J118" t="s">
        <v>264</v>
      </c>
      <c r="K118" t="s">
        <v>265</v>
      </c>
      <c r="L118">
        <v>1368</v>
      </c>
      <c r="N118">
        <v>1011</v>
      </c>
      <c r="O118" t="s">
        <v>260</v>
      </c>
      <c r="P118" t="s">
        <v>260</v>
      </c>
      <c r="Q118">
        <v>1</v>
      </c>
      <c r="X118">
        <v>0.12</v>
      </c>
      <c r="Y118">
        <v>0</v>
      </c>
      <c r="Z118">
        <v>65.709999999999994</v>
      </c>
      <c r="AA118">
        <v>11.6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0.12</v>
      </c>
      <c r="AH118">
        <v>2</v>
      </c>
      <c r="AI118">
        <v>16481845</v>
      </c>
      <c r="AJ118">
        <v>127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ROW(Source!A61)</f>
        <v>61</v>
      </c>
      <c r="B119">
        <v>16481857</v>
      </c>
      <c r="C119">
        <v>16481841</v>
      </c>
      <c r="D119">
        <v>15171018</v>
      </c>
      <c r="E119">
        <v>1</v>
      </c>
      <c r="F119">
        <v>1</v>
      </c>
      <c r="G119">
        <v>1</v>
      </c>
      <c r="H119">
        <v>3</v>
      </c>
      <c r="I119" t="s">
        <v>331</v>
      </c>
      <c r="J119" t="s">
        <v>332</v>
      </c>
      <c r="K119" t="s">
        <v>333</v>
      </c>
      <c r="L119">
        <v>1346</v>
      </c>
      <c r="N119">
        <v>1009</v>
      </c>
      <c r="O119" t="s">
        <v>322</v>
      </c>
      <c r="P119" t="s">
        <v>322</v>
      </c>
      <c r="Q119">
        <v>1</v>
      </c>
      <c r="X119">
        <v>0.41</v>
      </c>
      <c r="Y119">
        <v>1.82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6</v>
      </c>
      <c r="AG119">
        <v>0.41</v>
      </c>
      <c r="AH119">
        <v>2</v>
      </c>
      <c r="AI119">
        <v>16481846</v>
      </c>
      <c r="AJ119">
        <v>128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ROW(Source!A61)</f>
        <v>61</v>
      </c>
      <c r="B120">
        <v>16481858</v>
      </c>
      <c r="C120">
        <v>16481841</v>
      </c>
      <c r="D120">
        <v>15171907</v>
      </c>
      <c r="E120">
        <v>1</v>
      </c>
      <c r="F120">
        <v>1</v>
      </c>
      <c r="G120">
        <v>1</v>
      </c>
      <c r="H120">
        <v>3</v>
      </c>
      <c r="I120" t="s">
        <v>316</v>
      </c>
      <c r="J120" t="s">
        <v>317</v>
      </c>
      <c r="K120" t="s">
        <v>318</v>
      </c>
      <c r="L120">
        <v>1339</v>
      </c>
      <c r="N120">
        <v>1007</v>
      </c>
      <c r="O120" t="s">
        <v>301</v>
      </c>
      <c r="P120" t="s">
        <v>301</v>
      </c>
      <c r="Q120">
        <v>1</v>
      </c>
      <c r="X120">
        <v>4.7000000000000002E-3</v>
      </c>
      <c r="Y120">
        <v>74.58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4.7000000000000002E-3</v>
      </c>
      <c r="AH120">
        <v>2</v>
      </c>
      <c r="AI120">
        <v>16481847</v>
      </c>
      <c r="AJ120">
        <v>129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ROW(Source!A61)</f>
        <v>61</v>
      </c>
      <c r="B121">
        <v>16481859</v>
      </c>
      <c r="C121">
        <v>16481841</v>
      </c>
      <c r="D121">
        <v>15203663</v>
      </c>
      <c r="E121">
        <v>1</v>
      </c>
      <c r="F121">
        <v>1</v>
      </c>
      <c r="G121">
        <v>1</v>
      </c>
      <c r="H121">
        <v>3</v>
      </c>
      <c r="I121" t="s">
        <v>334</v>
      </c>
      <c r="J121" t="s">
        <v>335</v>
      </c>
      <c r="K121" t="s">
        <v>336</v>
      </c>
      <c r="L121">
        <v>1348</v>
      </c>
      <c r="N121">
        <v>1009</v>
      </c>
      <c r="O121" t="s">
        <v>57</v>
      </c>
      <c r="P121" t="s">
        <v>57</v>
      </c>
      <c r="Q121">
        <v>1000</v>
      </c>
      <c r="X121">
        <v>1.4999999999999999E-2</v>
      </c>
      <c r="Y121">
        <v>18362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6</v>
      </c>
      <c r="AG121">
        <v>1.4999999999999999E-2</v>
      </c>
      <c r="AH121">
        <v>2</v>
      </c>
      <c r="AI121">
        <v>16481848</v>
      </c>
      <c r="AJ121">
        <v>130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ROW(Source!A61)</f>
        <v>61</v>
      </c>
      <c r="B122">
        <v>16481860</v>
      </c>
      <c r="C122">
        <v>16481841</v>
      </c>
      <c r="D122">
        <v>15163065</v>
      </c>
      <c r="E122">
        <v>17</v>
      </c>
      <c r="F122">
        <v>1</v>
      </c>
      <c r="G122">
        <v>1</v>
      </c>
      <c r="H122">
        <v>3</v>
      </c>
      <c r="I122" t="s">
        <v>102</v>
      </c>
      <c r="J122" t="s">
        <v>6</v>
      </c>
      <c r="K122" t="s">
        <v>103</v>
      </c>
      <c r="L122">
        <v>1348</v>
      </c>
      <c r="N122">
        <v>1009</v>
      </c>
      <c r="O122" t="s">
        <v>57</v>
      </c>
      <c r="P122" t="s">
        <v>57</v>
      </c>
      <c r="Q122">
        <v>1000</v>
      </c>
      <c r="X122">
        <v>5.8999999999999997E-2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 t="s">
        <v>6</v>
      </c>
      <c r="AG122">
        <v>5.8999999999999997E-2</v>
      </c>
      <c r="AH122">
        <v>2</v>
      </c>
      <c r="AI122">
        <v>16481849</v>
      </c>
      <c r="AJ122">
        <v>131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ROW(Source!A61)</f>
        <v>61</v>
      </c>
      <c r="B123">
        <v>16481861</v>
      </c>
      <c r="C123">
        <v>16481841</v>
      </c>
      <c r="D123">
        <v>15204703</v>
      </c>
      <c r="E123">
        <v>1</v>
      </c>
      <c r="F123">
        <v>1</v>
      </c>
      <c r="G123">
        <v>1</v>
      </c>
      <c r="H123">
        <v>3</v>
      </c>
      <c r="I123" t="s">
        <v>337</v>
      </c>
      <c r="J123" t="s">
        <v>338</v>
      </c>
      <c r="K123" t="s">
        <v>339</v>
      </c>
      <c r="L123">
        <v>1348</v>
      </c>
      <c r="N123">
        <v>1009</v>
      </c>
      <c r="O123" t="s">
        <v>57</v>
      </c>
      <c r="P123" t="s">
        <v>57</v>
      </c>
      <c r="Q123">
        <v>1000</v>
      </c>
      <c r="X123">
        <v>0.01</v>
      </c>
      <c r="Y123">
        <v>6667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0.01</v>
      </c>
      <c r="AH123">
        <v>2</v>
      </c>
      <c r="AI123">
        <v>16481850</v>
      </c>
      <c r="AJ123">
        <v>133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ROW(Source!A61)</f>
        <v>61</v>
      </c>
      <c r="B124">
        <v>16481862</v>
      </c>
      <c r="C124">
        <v>16481841</v>
      </c>
      <c r="D124">
        <v>15204788</v>
      </c>
      <c r="E124">
        <v>1</v>
      </c>
      <c r="F124">
        <v>1</v>
      </c>
      <c r="G124">
        <v>1</v>
      </c>
      <c r="H124">
        <v>3</v>
      </c>
      <c r="I124" t="s">
        <v>340</v>
      </c>
      <c r="J124" t="s">
        <v>341</v>
      </c>
      <c r="K124" t="s">
        <v>342</v>
      </c>
      <c r="L124">
        <v>1348</v>
      </c>
      <c r="N124">
        <v>1009</v>
      </c>
      <c r="O124" t="s">
        <v>57</v>
      </c>
      <c r="P124" t="s">
        <v>57</v>
      </c>
      <c r="Q124">
        <v>1000</v>
      </c>
      <c r="X124">
        <v>1.2E-2</v>
      </c>
      <c r="Y124">
        <v>16950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1.2E-2</v>
      </c>
      <c r="AH124">
        <v>2</v>
      </c>
      <c r="AI124">
        <v>16481851</v>
      </c>
      <c r="AJ124">
        <v>134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6</vt:i4>
      </vt:variant>
    </vt:vector>
  </HeadingPairs>
  <TitlesOfParts>
    <vt:vector size="14" baseType="lpstr">
      <vt:lpstr>Смета 12 гр. по ФЕР</vt:lpstr>
      <vt:lpstr>Акт КС-2 c НР и СП</vt:lpstr>
      <vt:lpstr>Акт КС-2 10 граф</vt:lpstr>
      <vt:lpstr>Макет форма-3</vt:lpstr>
      <vt:lpstr>Source</vt:lpstr>
      <vt:lpstr>SourceObSm</vt:lpstr>
      <vt:lpstr>SmtRes</vt:lpstr>
      <vt:lpstr>EtalonRes</vt:lpstr>
      <vt:lpstr>'Акт КС-2 10 граф'!Заголовки_для_печати</vt:lpstr>
      <vt:lpstr>'Акт КС-2 c НР и СП'!Заголовки_для_печати</vt:lpstr>
      <vt:lpstr>'Смета 12 гр. по ФЕР'!Заголовки_для_печати</vt:lpstr>
      <vt:lpstr>'Акт КС-2 10 граф'!Область_печати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Марина Ю. Панина</dc:creator>
  <cp:lastModifiedBy>Ольга Л. Ситникова</cp:lastModifiedBy>
  <cp:lastPrinted>2018-07-31T08:47:20Z</cp:lastPrinted>
  <dcterms:created xsi:type="dcterms:W3CDTF">2018-01-23T12:08:32Z</dcterms:created>
  <dcterms:modified xsi:type="dcterms:W3CDTF">2018-08-09T08:57:52Z</dcterms:modified>
</cp:coreProperties>
</file>